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hidePivotFieldList="1"/>
  <mc:AlternateContent xmlns:mc="http://schemas.openxmlformats.org/markup-compatibility/2006">
    <mc:Choice Requires="x15">
      <x15ac:absPath xmlns:x15ac="http://schemas.microsoft.com/office/spreadsheetml/2010/11/ac" url="https://sprep.sharepoint.com/sites/WRPSharedFolder/Shared Documents/WRP Steering Committee 26 May 2026/Agenda 6.1 - Implementation plan and workplan - ready for upload/"/>
    </mc:Choice>
  </mc:AlternateContent>
  <xr:revisionPtr revIDLastSave="0" documentId="8_{C89711D0-AAF5-40A0-84A6-94338AEB9D9D}" xr6:coauthVersionLast="47" xr6:coauthVersionMax="47" xr10:uidLastSave="{00000000-0000-0000-0000-000000000000}"/>
  <bookViews>
    <workbookView xWindow="-98" yWindow="-98" windowWidth="21795" windowHeight="13875" firstSheet="3" activeTab="3" xr2:uid="{E5B3A623-E162-4843-A253-AA5D29908AFE}"/>
  </bookViews>
  <sheets>
    <sheet name="Implementation Plan MASTER" sheetId="18" r:id="rId1"/>
    <sheet name="Project Register" sheetId="2" state="hidden" r:id="rId2"/>
    <sheet name="Work Plan" sheetId="12" r:id="rId3"/>
    <sheet name="Change Adaptation Register" sheetId="17" r:id="rId4"/>
    <sheet name="Implementation Plan V2 Sep25" sheetId="1" state="hidden" r:id="rId5"/>
  </sheets>
  <definedNames>
    <definedName name="_xlnm._FilterDatabase" localSheetId="3" hidden="1">'Change Adaptation Register'!$A$6:$O$6</definedName>
    <definedName name="_xlnm._FilterDatabase" localSheetId="0" hidden="1">'Implementation Plan MASTER'!$A$1:$AB$52</definedName>
    <definedName name="_xlnm._FilterDatabase" localSheetId="4" hidden="1">'Implementation Plan V2 Sep25'!$A$1:$AB$26</definedName>
    <definedName name="_xlnm._FilterDatabase" localSheetId="1" hidden="1">'Project Register'!$B$1:$AM$75</definedName>
    <definedName name="_xlnm.Print_Area" localSheetId="0">'Implementation Plan MASTER'!$A$59:$U$66</definedName>
    <definedName name="_xlnm.Print_Area" localSheetId="4">'Implementation Plan V2 Sep25'!$A$59:$U$66</definedName>
    <definedName name="_xlnm.Print_Area" localSheetId="2">'Work Plan'!$B$5:$O$24</definedName>
    <definedName name="Total_Allocated" localSheetId="2">'Work Plan'!$M$36</definedName>
    <definedName name="Total_Allocated">#REF!</definedName>
  </definedNames>
  <calcPr calcId="191028"/>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17" l="1"/>
  <c r="E89" i="17"/>
  <c r="AC2" i="2" l="1"/>
  <c r="AC3" i="2"/>
  <c r="AC5" i="2"/>
  <c r="AC7" i="2"/>
  <c r="AC10" i="2"/>
  <c r="AC11" i="2"/>
  <c r="AC12" i="2"/>
  <c r="AC13" i="2"/>
  <c r="AC18" i="2"/>
  <c r="AC19" i="2"/>
  <c r="AC20" i="2"/>
  <c r="AC21" i="2"/>
  <c r="AC22" i="2"/>
  <c r="AC23" i="2"/>
  <c r="AC24" i="2"/>
  <c r="AC25" i="2"/>
  <c r="AC26" i="2"/>
  <c r="AC28" i="2"/>
  <c r="AC29" i="2"/>
  <c r="AC30" i="2"/>
  <c r="AC31" i="2"/>
  <c r="AC34" i="2"/>
  <c r="AC35" i="2"/>
  <c r="AC36" i="2"/>
  <c r="AC37" i="2"/>
  <c r="AC38" i="2"/>
  <c r="AC40" i="2"/>
  <c r="AC42" i="2"/>
  <c r="AC44" i="2"/>
  <c r="AC45" i="2"/>
  <c r="AC47" i="2"/>
  <c r="AC48" i="2"/>
  <c r="AC49" i="2"/>
  <c r="AC50" i="2"/>
  <c r="AC51" i="2"/>
  <c r="AC52" i="2"/>
  <c r="AC54" i="2"/>
  <c r="AC55" i="2"/>
  <c r="AC56" i="2"/>
  <c r="AC57" i="2"/>
  <c r="AC58" i="2"/>
  <c r="AC59" i="2"/>
  <c r="AC61" i="2"/>
  <c r="AC66" i="2"/>
  <c r="AC68" i="2"/>
  <c r="AC69" i="2"/>
  <c r="AC70" i="2"/>
  <c r="AC73" i="2"/>
  <c r="AC74" i="2"/>
  <c r="AC77" i="2"/>
  <c r="AC79" i="2"/>
  <c r="AC80" i="2"/>
  <c r="AC81" i="2"/>
  <c r="AC82" i="2"/>
  <c r="AC83" i="2"/>
  <c r="AC84" i="2"/>
  <c r="AC85" i="2"/>
  <c r="AC86" i="2"/>
  <c r="AC87" i="2"/>
  <c r="AC88" i="2"/>
  <c r="AC89" i="2"/>
  <c r="AC90" i="2"/>
  <c r="AC91" i="2"/>
  <c r="AC92" i="2"/>
  <c r="AC94" i="2"/>
  <c r="AC95" i="2"/>
  <c r="AC96" i="2"/>
  <c r="AC97" i="2"/>
  <c r="AC98" i="2"/>
  <c r="AC99" i="2"/>
  <c r="AC100" i="2"/>
  <c r="AC101" i="2"/>
  <c r="AC102" i="2"/>
  <c r="AC103" i="2"/>
  <c r="AC104" i="2"/>
  <c r="AC106" i="2"/>
  <c r="AC107" i="2"/>
  <c r="AC108" i="2"/>
  <c r="AC110" i="2"/>
  <c r="AC111" i="2"/>
  <c r="AC112" i="2"/>
  <c r="AC113" i="2"/>
  <c r="AC115" i="2"/>
  <c r="AC116" i="2"/>
  <c r="AC117" i="2"/>
  <c r="AC118" i="2"/>
  <c r="AC119" i="2"/>
  <c r="AC120" i="2"/>
  <c r="AC121" i="2"/>
  <c r="AC122" i="2"/>
  <c r="AC123" i="2"/>
  <c r="AC124" i="2"/>
  <c r="AC125" i="2"/>
  <c r="AB3" i="2"/>
  <c r="AB4" i="2"/>
  <c r="AB5" i="2"/>
  <c r="AB6" i="2"/>
  <c r="AB7" i="2"/>
  <c r="AB8" i="2"/>
  <c r="AB9" i="2"/>
  <c r="AB10" i="2"/>
  <c r="AB11" i="2"/>
  <c r="AB12" i="2"/>
  <c r="AB13" i="2"/>
  <c r="AB14" i="2"/>
  <c r="AB16" i="2"/>
  <c r="AB17" i="2"/>
  <c r="AB18" i="2"/>
  <c r="AB19" i="2"/>
  <c r="AB20" i="2"/>
  <c r="AB21" i="2"/>
  <c r="AB22" i="2"/>
  <c r="AB23" i="2"/>
  <c r="AB24" i="2"/>
  <c r="AB25" i="2"/>
  <c r="AB26" i="2"/>
  <c r="AB27" i="2"/>
  <c r="AB28" i="2"/>
  <c r="AB29" i="2"/>
  <c r="AB30" i="2"/>
  <c r="AB31" i="2"/>
  <c r="AB32" i="2"/>
  <c r="AB33" i="2"/>
  <c r="AB34" i="2"/>
  <c r="AB35" i="2"/>
  <c r="AB36" i="2"/>
  <c r="AB37" i="2"/>
  <c r="AB38"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F46" i="2"/>
  <c r="AA46" i="2" s="1"/>
  <c r="AE49" i="2"/>
  <c r="AF49" i="2"/>
  <c r="R45" i="18" s="1"/>
  <c r="AF15" i="2"/>
  <c r="AA15" i="2" s="1"/>
  <c r="AG88" i="2"/>
  <c r="AA88" i="2" s="1"/>
  <c r="AG77" i="2"/>
  <c r="AA77" i="2" s="1"/>
  <c r="AF64" i="2"/>
  <c r="AA64" i="2" s="1"/>
  <c r="AF105" i="2"/>
  <c r="AF72" i="2"/>
  <c r="AA72" i="2" s="1"/>
  <c r="AF9" i="2"/>
  <c r="AF31" i="2"/>
  <c r="AG43" i="2"/>
  <c r="AA43" i="2" s="1"/>
  <c r="Q65" i="18"/>
  <c r="P65" i="18"/>
  <c r="P64" i="18" s="1"/>
  <c r="Q25" i="18"/>
  <c r="P25" i="18"/>
  <c r="Q23" i="18"/>
  <c r="P23" i="18"/>
  <c r="Q22" i="18"/>
  <c r="P22" i="18"/>
  <c r="Q21" i="18"/>
  <c r="P21" i="18"/>
  <c r="Q20" i="18"/>
  <c r="P20" i="18"/>
  <c r="Q19" i="18"/>
  <c r="P19" i="18"/>
  <c r="Q18" i="18"/>
  <c r="P18" i="18"/>
  <c r="Q16" i="18"/>
  <c r="P16" i="18"/>
  <c r="Q39" i="18"/>
  <c r="P39" i="18"/>
  <c r="Q38" i="18"/>
  <c r="P38" i="18"/>
  <c r="Q37" i="18"/>
  <c r="P37" i="18"/>
  <c r="Q36" i="18"/>
  <c r="P36" i="18"/>
  <c r="Q35" i="18"/>
  <c r="P35" i="18"/>
  <c r="Q34" i="18"/>
  <c r="P34" i="18"/>
  <c r="P33" i="18"/>
  <c r="Q32" i="18"/>
  <c r="P32" i="18"/>
  <c r="Q30" i="18"/>
  <c r="P30" i="18"/>
  <c r="Q28" i="18"/>
  <c r="P28" i="18"/>
  <c r="Q58" i="18"/>
  <c r="P58" i="18"/>
  <c r="Q57" i="18"/>
  <c r="P57" i="18"/>
  <c r="Q56" i="18"/>
  <c r="P56" i="18"/>
  <c r="Q55" i="18"/>
  <c r="P55" i="18"/>
  <c r="Q54" i="18"/>
  <c r="P54" i="18"/>
  <c r="Q53" i="18"/>
  <c r="P53" i="18"/>
  <c r="Q52" i="18"/>
  <c r="P52" i="18"/>
  <c r="Q49" i="18"/>
  <c r="P49" i="18"/>
  <c r="Q48" i="18"/>
  <c r="P48" i="18"/>
  <c r="Q47" i="18"/>
  <c r="P47" i="18"/>
  <c r="Q46" i="18"/>
  <c r="P46" i="18"/>
  <c r="P45" i="18"/>
  <c r="Q44" i="18"/>
  <c r="P44" i="18"/>
  <c r="Q42" i="18"/>
  <c r="P42" i="18"/>
  <c r="Q13" i="18"/>
  <c r="P13" i="18"/>
  <c r="Q12" i="18"/>
  <c r="P12" i="18"/>
  <c r="Q10" i="18"/>
  <c r="P10" i="18"/>
  <c r="Q9" i="18"/>
  <c r="P9" i="18"/>
  <c r="Q8" i="18"/>
  <c r="P8" i="18"/>
  <c r="Q7" i="18"/>
  <c r="P7" i="18"/>
  <c r="Q6" i="18"/>
  <c r="P6" i="18"/>
  <c r="Q4" i="18"/>
  <c r="P4" i="18"/>
  <c r="AP109" i="2"/>
  <c r="AQ109" i="2" s="1"/>
  <c r="AP105" i="2"/>
  <c r="AE2" i="2"/>
  <c r="AP2" i="2"/>
  <c r="AD2" i="2"/>
  <c r="AN2" i="2"/>
  <c r="AP103" i="2"/>
  <c r="AQ103" i="2" s="1"/>
  <c r="AP63" i="2"/>
  <c r="AQ63" i="2" s="1"/>
  <c r="AP67" i="2"/>
  <c r="AQ67" i="2" s="1"/>
  <c r="AF42" i="2"/>
  <c r="AA42" i="2" s="1"/>
  <c r="AP72" i="2"/>
  <c r="AQ72" i="2" s="1"/>
  <c r="AP53" i="2"/>
  <c r="AQ53" i="2" s="1"/>
  <c r="AP32" i="2"/>
  <c r="AP27" i="2"/>
  <c r="AQ27" i="2" s="1"/>
  <c r="AP87" i="2"/>
  <c r="AQ87" i="2" s="1"/>
  <c r="AP86" i="2"/>
  <c r="AQ86" i="2" s="1"/>
  <c r="AP75" i="2"/>
  <c r="AQ75" i="2" s="1"/>
  <c r="AP69" i="2"/>
  <c r="AQ69" i="2" s="1"/>
  <c r="AP68" i="2"/>
  <c r="AQ68" i="2" s="1"/>
  <c r="AP66" i="2"/>
  <c r="AP21" i="2"/>
  <c r="AQ21" i="2" s="1"/>
  <c r="AP17" i="2"/>
  <c r="AQ17" i="2" s="1"/>
  <c r="AP16" i="2"/>
  <c r="AQ16" i="2" s="1"/>
  <c r="AF38" i="2"/>
  <c r="AA38" i="2" s="1"/>
  <c r="AG40" i="2"/>
  <c r="S35" i="18" s="1"/>
  <c r="AF40" i="2"/>
  <c r="AF28" i="2"/>
  <c r="AA28" i="2" s="1"/>
  <c r="AP28" i="2"/>
  <c r="AA5" i="2"/>
  <c r="AA6" i="2"/>
  <c r="AA7" i="2"/>
  <c r="AA8" i="2"/>
  <c r="AA9" i="2"/>
  <c r="AA10" i="2"/>
  <c r="AA11" i="2"/>
  <c r="AA12" i="2"/>
  <c r="AA13" i="2"/>
  <c r="AA14" i="2"/>
  <c r="AA16" i="2"/>
  <c r="AA18" i="2"/>
  <c r="AA19" i="2"/>
  <c r="AA20" i="2"/>
  <c r="AA21" i="2"/>
  <c r="AA23" i="2"/>
  <c r="AA24" i="2"/>
  <c r="AA25" i="2"/>
  <c r="AA26" i="2"/>
  <c r="AA27" i="2"/>
  <c r="AA29" i="2"/>
  <c r="AA32" i="2"/>
  <c r="AA35" i="2"/>
  <c r="AA36" i="2"/>
  <c r="AA37" i="2"/>
  <c r="AA41" i="2"/>
  <c r="AA44" i="2"/>
  <c r="AA45" i="2"/>
  <c r="AA47" i="2"/>
  <c r="AA48" i="2"/>
  <c r="AA50" i="2"/>
  <c r="AA51" i="2"/>
  <c r="AA53" i="2"/>
  <c r="AA55" i="2"/>
  <c r="AA57" i="2"/>
  <c r="AA58" i="2"/>
  <c r="AA59" i="2"/>
  <c r="AA61" i="2"/>
  <c r="AA63" i="2"/>
  <c r="AA66" i="2"/>
  <c r="AA67" i="2"/>
  <c r="AA68" i="2"/>
  <c r="AA69" i="2"/>
  <c r="AA70" i="2"/>
  <c r="AA71" i="2"/>
  <c r="AA73" i="2"/>
  <c r="AA74" i="2"/>
  <c r="AA75" i="2"/>
  <c r="AA76" i="2"/>
  <c r="AA78" i="2"/>
  <c r="AA79" i="2"/>
  <c r="AA80" i="2"/>
  <c r="AA81" i="2"/>
  <c r="AA82" i="2"/>
  <c r="AA83" i="2"/>
  <c r="AA84" i="2"/>
  <c r="AA85" i="2"/>
  <c r="AA86" i="2"/>
  <c r="AA89" i="2"/>
  <c r="AA90" i="2"/>
  <c r="AA91" i="2"/>
  <c r="AA92" i="2"/>
  <c r="AA94" i="2"/>
  <c r="AA95" i="2"/>
  <c r="AA97" i="2"/>
  <c r="AA98" i="2"/>
  <c r="AA99" i="2"/>
  <c r="AA100" i="2"/>
  <c r="AA101" i="2"/>
  <c r="AA102" i="2"/>
  <c r="AA103" i="2"/>
  <c r="AA104" i="2"/>
  <c r="AA106" i="2"/>
  <c r="AA107" i="2"/>
  <c r="AA108" i="2"/>
  <c r="AA109" i="2"/>
  <c r="AA110" i="2"/>
  <c r="AA111" i="2"/>
  <c r="AA112" i="2"/>
  <c r="AA113" i="2"/>
  <c r="AA114" i="2"/>
  <c r="AA115" i="2"/>
  <c r="AA116" i="2"/>
  <c r="AA117" i="2"/>
  <c r="AA118" i="2"/>
  <c r="AA119" i="2"/>
  <c r="N13" i="18" s="1"/>
  <c r="D56" i="17" s="1"/>
  <c r="AA120" i="2"/>
  <c r="AA121" i="2"/>
  <c r="AA122" i="2"/>
  <c r="AA123" i="2"/>
  <c r="AS123" i="2" s="1"/>
  <c r="AA124" i="2"/>
  <c r="AS124" i="2" s="1"/>
  <c r="AA125" i="2"/>
  <c r="AS125" i="2" s="1"/>
  <c r="AP3" i="2"/>
  <c r="AQ3" i="2" s="1"/>
  <c r="AP15" i="2"/>
  <c r="AQ15" i="2" s="1"/>
  <c r="AQ42" i="2"/>
  <c r="AQ38" i="2"/>
  <c r="AQ36" i="2"/>
  <c r="AQ35" i="2"/>
  <c r="AQ4" i="2"/>
  <c r="AQ5" i="2"/>
  <c r="AQ6" i="2"/>
  <c r="AQ7" i="2"/>
  <c r="AQ8" i="2"/>
  <c r="AQ9" i="2"/>
  <c r="AQ11" i="2"/>
  <c r="AQ12" i="2"/>
  <c r="AQ13" i="2"/>
  <c r="AQ18" i="2"/>
  <c r="AQ19" i="2"/>
  <c r="AQ23" i="2"/>
  <c r="AQ24" i="2"/>
  <c r="AQ25" i="2"/>
  <c r="AQ26" i="2"/>
  <c r="AQ29" i="2"/>
  <c r="AQ30" i="2"/>
  <c r="AQ31" i="2"/>
  <c r="AQ33" i="2"/>
  <c r="AQ34" i="2"/>
  <c r="AQ39" i="2"/>
  <c r="AQ41" i="2"/>
  <c r="AQ43" i="2"/>
  <c r="AQ44" i="2"/>
  <c r="AQ45" i="2"/>
  <c r="AQ47" i="2"/>
  <c r="AQ48" i="2"/>
  <c r="AQ51" i="2"/>
  <c r="AQ52" i="2"/>
  <c r="AQ55" i="2"/>
  <c r="AQ56" i="2"/>
  <c r="AQ57" i="2"/>
  <c r="AQ58" i="2"/>
  <c r="AQ59" i="2"/>
  <c r="AQ61" i="2"/>
  <c r="AQ62" i="2"/>
  <c r="AQ64" i="2"/>
  <c r="AQ65" i="2"/>
  <c r="AQ70" i="2"/>
  <c r="AQ71" i="2"/>
  <c r="AQ73" i="2"/>
  <c r="AQ74" i="2"/>
  <c r="AQ76" i="2"/>
  <c r="AQ77" i="2"/>
  <c r="AQ78" i="2"/>
  <c r="AQ79" i="2"/>
  <c r="AQ80" i="2"/>
  <c r="AQ81" i="2"/>
  <c r="AQ82" i="2"/>
  <c r="AQ83" i="2"/>
  <c r="AQ84" i="2"/>
  <c r="AQ85" i="2"/>
  <c r="AQ88" i="2"/>
  <c r="AQ89" i="2"/>
  <c r="AQ90" i="2"/>
  <c r="AQ91" i="2"/>
  <c r="AQ92" i="2"/>
  <c r="AQ93" i="2"/>
  <c r="AQ94" i="2"/>
  <c r="AQ95" i="2"/>
  <c r="AQ96" i="2"/>
  <c r="AQ97" i="2"/>
  <c r="AQ98" i="2"/>
  <c r="AQ99" i="2"/>
  <c r="AQ100" i="2"/>
  <c r="AQ101" i="2"/>
  <c r="AQ102" i="2"/>
  <c r="AQ104" i="2"/>
  <c r="AQ106" i="2"/>
  <c r="AQ107" i="2"/>
  <c r="AQ108" i="2"/>
  <c r="AQ110" i="2"/>
  <c r="AQ111" i="2"/>
  <c r="AQ112" i="2"/>
  <c r="AQ113" i="2"/>
  <c r="AQ114" i="2"/>
  <c r="AQ115" i="2"/>
  <c r="AQ116" i="2"/>
  <c r="AQ117" i="2"/>
  <c r="AQ118" i="2"/>
  <c r="AQ119" i="2"/>
  <c r="AQ120" i="2"/>
  <c r="AQ121" i="2"/>
  <c r="AQ122" i="2"/>
  <c r="AQ123" i="2"/>
  <c r="AQ124" i="2"/>
  <c r="AQ125" i="2"/>
  <c r="S92" i="2"/>
  <c r="D92" i="2"/>
  <c r="G92" i="2" s="1"/>
  <c r="J92" i="2" s="1"/>
  <c r="A92" i="2"/>
  <c r="AY92" i="2"/>
  <c r="C92" i="2"/>
  <c r="AF87" i="2"/>
  <c r="AA87" i="2" s="1"/>
  <c r="AF4" i="2"/>
  <c r="R4" i="18" s="1"/>
  <c r="B89" i="17"/>
  <c r="C89" i="17"/>
  <c r="B90" i="17"/>
  <c r="C90" i="17"/>
  <c r="B88" i="17"/>
  <c r="C88" i="17"/>
  <c r="B79" i="17"/>
  <c r="C79" i="17"/>
  <c r="E79" i="17"/>
  <c r="B80" i="17"/>
  <c r="C80" i="17"/>
  <c r="E80" i="17"/>
  <c r="B81" i="17"/>
  <c r="C81" i="17"/>
  <c r="E81" i="17"/>
  <c r="B82" i="17"/>
  <c r="C82" i="17"/>
  <c r="E82" i="17"/>
  <c r="B83" i="17"/>
  <c r="C83" i="17"/>
  <c r="E83" i="17"/>
  <c r="B84" i="17"/>
  <c r="C84" i="17"/>
  <c r="E84" i="17"/>
  <c r="B85" i="17"/>
  <c r="C85" i="17"/>
  <c r="E85" i="17"/>
  <c r="B86" i="17"/>
  <c r="C86" i="17"/>
  <c r="E86" i="17"/>
  <c r="B87" i="17"/>
  <c r="C87" i="17"/>
  <c r="E87" i="17"/>
  <c r="B59" i="17"/>
  <c r="C59" i="17"/>
  <c r="E59" i="17"/>
  <c r="B60" i="17"/>
  <c r="C60" i="17"/>
  <c r="E60" i="17"/>
  <c r="B61" i="17"/>
  <c r="C61" i="17"/>
  <c r="E61" i="17"/>
  <c r="B62" i="17"/>
  <c r="C62" i="17"/>
  <c r="E62" i="17"/>
  <c r="B63" i="17"/>
  <c r="C63" i="17"/>
  <c r="E63" i="17"/>
  <c r="B64" i="17"/>
  <c r="C64" i="17"/>
  <c r="E64" i="17"/>
  <c r="B65" i="17"/>
  <c r="C65" i="17"/>
  <c r="E65" i="17"/>
  <c r="B66" i="17"/>
  <c r="C66" i="17"/>
  <c r="E66" i="17"/>
  <c r="B67" i="17"/>
  <c r="C67" i="17"/>
  <c r="E67" i="17"/>
  <c r="B68" i="17"/>
  <c r="C68" i="17"/>
  <c r="E68" i="17"/>
  <c r="B69" i="17"/>
  <c r="C69" i="17"/>
  <c r="E69" i="17"/>
  <c r="B70" i="17"/>
  <c r="C70" i="17"/>
  <c r="E70" i="17"/>
  <c r="B71" i="17"/>
  <c r="C71" i="17"/>
  <c r="E71" i="17"/>
  <c r="B72" i="17"/>
  <c r="C72" i="17"/>
  <c r="E72" i="17"/>
  <c r="B73" i="17"/>
  <c r="C73" i="17"/>
  <c r="E73" i="17"/>
  <c r="B74" i="17"/>
  <c r="C74" i="17"/>
  <c r="E74" i="17"/>
  <c r="B75" i="17"/>
  <c r="C75" i="17"/>
  <c r="E75" i="17"/>
  <c r="B76" i="17"/>
  <c r="C76" i="17"/>
  <c r="E76" i="17"/>
  <c r="B77" i="17"/>
  <c r="C77" i="17"/>
  <c r="E77" i="17"/>
  <c r="B78" i="17"/>
  <c r="C78" i="17"/>
  <c r="E78" i="17"/>
  <c r="B50" i="17"/>
  <c r="C50" i="17"/>
  <c r="E50" i="17"/>
  <c r="B51" i="17"/>
  <c r="C51" i="17"/>
  <c r="E51" i="17"/>
  <c r="B52" i="17"/>
  <c r="C52" i="17"/>
  <c r="E52" i="17"/>
  <c r="B53" i="17"/>
  <c r="C53" i="17"/>
  <c r="E53" i="17"/>
  <c r="B54" i="17"/>
  <c r="C54" i="17"/>
  <c r="E54" i="17"/>
  <c r="B55" i="17"/>
  <c r="C55" i="17"/>
  <c r="E55" i="17"/>
  <c r="B56" i="17"/>
  <c r="C56" i="17"/>
  <c r="E56" i="17"/>
  <c r="B57" i="17"/>
  <c r="C57" i="17"/>
  <c r="E57" i="17"/>
  <c r="B58" i="17"/>
  <c r="C58" i="17"/>
  <c r="E58" i="17"/>
  <c r="B49" i="17"/>
  <c r="C49" i="17"/>
  <c r="E49" i="17"/>
  <c r="S95" i="12"/>
  <c r="S71" i="12"/>
  <c r="S50" i="12"/>
  <c r="S97" i="12"/>
  <c r="S102" i="12"/>
  <c r="S93" i="12"/>
  <c r="S92" i="12"/>
  <c r="S53" i="12"/>
  <c r="S51" i="12"/>
  <c r="S47" i="12"/>
  <c r="S33" i="12"/>
  <c r="S35" i="12"/>
  <c r="S18" i="12"/>
  <c r="AQ54" i="2"/>
  <c r="AQ22" i="2"/>
  <c r="O126" i="12"/>
  <c r="AY2" i="2"/>
  <c r="AY3" i="2"/>
  <c r="AY4" i="2"/>
  <c r="AY5" i="2"/>
  <c r="AY6" i="2"/>
  <c r="AY7" i="2"/>
  <c r="AY8" i="2"/>
  <c r="AY9" i="2"/>
  <c r="AY10" i="2"/>
  <c r="AY11" i="2"/>
  <c r="AY12" i="2"/>
  <c r="AY13" i="2"/>
  <c r="AY14" i="2"/>
  <c r="AY15" i="2"/>
  <c r="AY16" i="2"/>
  <c r="AY17" i="2"/>
  <c r="AY18" i="2"/>
  <c r="AY19" i="2"/>
  <c r="AY20" i="2"/>
  <c r="AY21" i="2"/>
  <c r="AY22" i="2"/>
  <c r="AY23" i="2"/>
  <c r="AY24" i="2"/>
  <c r="AY25" i="2"/>
  <c r="AY26" i="2"/>
  <c r="AY27" i="2"/>
  <c r="AY28" i="2"/>
  <c r="AY29" i="2"/>
  <c r="AY30" i="2"/>
  <c r="AY31" i="2"/>
  <c r="AY32" i="2"/>
  <c r="AY33" i="2"/>
  <c r="AY34" i="2"/>
  <c r="AY35" i="2"/>
  <c r="AY36" i="2"/>
  <c r="AY37" i="2"/>
  <c r="AY38" i="2"/>
  <c r="AY39" i="2"/>
  <c r="AY40" i="2"/>
  <c r="AY41" i="2"/>
  <c r="AY42" i="2"/>
  <c r="AY43" i="2"/>
  <c r="AY44" i="2"/>
  <c r="AY45" i="2"/>
  <c r="AY46" i="2"/>
  <c r="AY47" i="2"/>
  <c r="AY48" i="2"/>
  <c r="AY49" i="2"/>
  <c r="AY50" i="2"/>
  <c r="AY51" i="2"/>
  <c r="AY52" i="2"/>
  <c r="AY53" i="2"/>
  <c r="AY54" i="2"/>
  <c r="AY55" i="2"/>
  <c r="AY56" i="2"/>
  <c r="AY57" i="2"/>
  <c r="AY58" i="2"/>
  <c r="AY59" i="2"/>
  <c r="AY60" i="2"/>
  <c r="AY61" i="2"/>
  <c r="AY62" i="2"/>
  <c r="AY63" i="2"/>
  <c r="AY64" i="2"/>
  <c r="AY65" i="2"/>
  <c r="AY66" i="2"/>
  <c r="AY67" i="2"/>
  <c r="AY68" i="2"/>
  <c r="AY69" i="2"/>
  <c r="AY70" i="2"/>
  <c r="AY71" i="2"/>
  <c r="AY72" i="2"/>
  <c r="AY73" i="2"/>
  <c r="AY74" i="2"/>
  <c r="AY75" i="2"/>
  <c r="AY76" i="2"/>
  <c r="AY77" i="2"/>
  <c r="AY78" i="2"/>
  <c r="AY79" i="2"/>
  <c r="AY80" i="2"/>
  <c r="AY81" i="2"/>
  <c r="AY82" i="2"/>
  <c r="AY83" i="2"/>
  <c r="AY84" i="2"/>
  <c r="AY85" i="2"/>
  <c r="AY86" i="2"/>
  <c r="AY87" i="2"/>
  <c r="AY88" i="2"/>
  <c r="AY89" i="2"/>
  <c r="AY90" i="2"/>
  <c r="AY91" i="2"/>
  <c r="AY93" i="2"/>
  <c r="AY94" i="2"/>
  <c r="AY95" i="2"/>
  <c r="AY96" i="2"/>
  <c r="AY97" i="2"/>
  <c r="AY98" i="2"/>
  <c r="AY99" i="2"/>
  <c r="AY100" i="2"/>
  <c r="AY101" i="2"/>
  <c r="AY102" i="2"/>
  <c r="AY103" i="2"/>
  <c r="AY104" i="2"/>
  <c r="AY105" i="2"/>
  <c r="AY106" i="2"/>
  <c r="AY107" i="2"/>
  <c r="AY108" i="2"/>
  <c r="AY109" i="2"/>
  <c r="AY110" i="2"/>
  <c r="AY111" i="2"/>
  <c r="AY112" i="2"/>
  <c r="AY113" i="2"/>
  <c r="AY114" i="2"/>
  <c r="AY115" i="2"/>
  <c r="AY116" i="2"/>
  <c r="AY117" i="2"/>
  <c r="AY118" i="2"/>
  <c r="AY119" i="2"/>
  <c r="AY120" i="2"/>
  <c r="AY121" i="2"/>
  <c r="AY122" i="2"/>
  <c r="AY123" i="2"/>
  <c r="AY124" i="2"/>
  <c r="AY125" i="2"/>
  <c r="J2" i="2"/>
  <c r="J3" i="2"/>
  <c r="J7" i="2"/>
  <c r="J50" i="2"/>
  <c r="J51" i="2"/>
  <c r="J65" i="2"/>
  <c r="J66" i="2"/>
  <c r="J67" i="2"/>
  <c r="J68" i="2"/>
  <c r="J69" i="2"/>
  <c r="J70" i="2"/>
  <c r="J71" i="2"/>
  <c r="J73" i="2"/>
  <c r="J74" i="2"/>
  <c r="J75" i="2"/>
  <c r="J76" i="2"/>
  <c r="J78" i="2"/>
  <c r="J79" i="2"/>
  <c r="J80" i="2"/>
  <c r="J81" i="2"/>
  <c r="J82" i="2"/>
  <c r="J106" i="2"/>
  <c r="J107" i="2"/>
  <c r="J108" i="2"/>
  <c r="J109" i="2"/>
  <c r="J110" i="2"/>
  <c r="J111" i="2"/>
  <c r="J112" i="2"/>
  <c r="J113" i="2"/>
  <c r="J114" i="2"/>
  <c r="J115" i="2"/>
  <c r="J116" i="2"/>
  <c r="J117" i="2"/>
  <c r="J118" i="2"/>
  <c r="J119" i="2"/>
  <c r="J120" i="2"/>
  <c r="J121" i="2"/>
  <c r="J122" i="2"/>
  <c r="J123" i="2"/>
  <c r="J124" i="2"/>
  <c r="J125" i="2"/>
  <c r="J23" i="2"/>
  <c r="J24" i="2"/>
  <c r="J44" i="2"/>
  <c r="J45" i="2"/>
  <c r="J59" i="2"/>
  <c r="J94" i="2"/>
  <c r="J95" i="2"/>
  <c r="J97" i="2"/>
  <c r="J98" i="2"/>
  <c r="J99" i="2"/>
  <c r="J100" i="2"/>
  <c r="J101" i="2"/>
  <c r="J104" i="2"/>
  <c r="D7" i="2"/>
  <c r="G7" i="2" s="1"/>
  <c r="A7" i="2"/>
  <c r="C7" i="2"/>
  <c r="S7" i="2"/>
  <c r="AO70" i="2"/>
  <c r="AO50" i="2"/>
  <c r="AO49" i="2"/>
  <c r="AO29" i="2"/>
  <c r="AO3" i="2"/>
  <c r="AO2" i="2"/>
  <c r="M66" i="1"/>
  <c r="AC109" i="2"/>
  <c r="AC78" i="2"/>
  <c r="AC76" i="2"/>
  <c r="AC75" i="2"/>
  <c r="AC72" i="2"/>
  <c r="AC71" i="2"/>
  <c r="AC64" i="2"/>
  <c r="AC63" i="2"/>
  <c r="AC62" i="2"/>
  <c r="AC60" i="2"/>
  <c r="AC53" i="2"/>
  <c r="AC46" i="2"/>
  <c r="AC32" i="2"/>
  <c r="AC27" i="2"/>
  <c r="AC17" i="2"/>
  <c r="AC15" i="2"/>
  <c r="AB15" i="2"/>
  <c r="AC14" i="2"/>
  <c r="AC9" i="2"/>
  <c r="AC8" i="2"/>
  <c r="AC6" i="2"/>
  <c r="AC4" i="2"/>
  <c r="AB2" i="2"/>
  <c r="C4" i="1"/>
  <c r="I64" i="18"/>
  <c r="M63" i="18"/>
  <c r="C63" i="18"/>
  <c r="M61" i="18"/>
  <c r="C61" i="18"/>
  <c r="H59" i="18"/>
  <c r="G59" i="18"/>
  <c r="U25" i="18"/>
  <c r="T25" i="18"/>
  <c r="S25" i="18"/>
  <c r="R25" i="18"/>
  <c r="I25" i="18"/>
  <c r="C25" i="18"/>
  <c r="U23" i="18"/>
  <c r="T23" i="18"/>
  <c r="S23" i="18"/>
  <c r="C23" i="18"/>
  <c r="U22" i="18"/>
  <c r="T22" i="18"/>
  <c r="S22" i="18"/>
  <c r="I22" i="18"/>
  <c r="H22" i="18"/>
  <c r="H14" i="18" s="1"/>
  <c r="G22" i="18"/>
  <c r="G14" i="18" s="1"/>
  <c r="C22" i="18"/>
  <c r="U21" i="18"/>
  <c r="T21" i="18"/>
  <c r="S21" i="18"/>
  <c r="I21" i="18"/>
  <c r="C21" i="18"/>
  <c r="U20" i="18"/>
  <c r="T20" i="18"/>
  <c r="S20" i="18"/>
  <c r="C20" i="18"/>
  <c r="U19" i="18"/>
  <c r="T19" i="18"/>
  <c r="S19" i="18"/>
  <c r="R19" i="18"/>
  <c r="I19" i="18"/>
  <c r="C19" i="18"/>
  <c r="U18" i="18"/>
  <c r="T18" i="18"/>
  <c r="I18" i="18"/>
  <c r="C18" i="18"/>
  <c r="U16" i="18"/>
  <c r="T16" i="18"/>
  <c r="S16" i="18"/>
  <c r="R16" i="18"/>
  <c r="I16" i="18"/>
  <c r="C16" i="18"/>
  <c r="U39" i="18"/>
  <c r="T39" i="18"/>
  <c r="S39" i="18"/>
  <c r="R39" i="18"/>
  <c r="N39" i="18"/>
  <c r="D80" i="17" s="1"/>
  <c r="M39" i="18"/>
  <c r="I39" i="18"/>
  <c r="C39" i="18"/>
  <c r="U38" i="18"/>
  <c r="T38" i="18"/>
  <c r="S38" i="18"/>
  <c r="R38" i="18"/>
  <c r="N38" i="18"/>
  <c r="D79" i="17" s="1"/>
  <c r="M38" i="18"/>
  <c r="I38" i="18"/>
  <c r="C38" i="18"/>
  <c r="U37" i="18"/>
  <c r="T37" i="18"/>
  <c r="S37" i="18"/>
  <c r="R37" i="18"/>
  <c r="I37" i="18"/>
  <c r="C37" i="18"/>
  <c r="U36" i="18"/>
  <c r="T36" i="18"/>
  <c r="S36" i="18"/>
  <c r="R36" i="18"/>
  <c r="N36" i="18"/>
  <c r="D77" i="17" s="1"/>
  <c r="M36" i="18"/>
  <c r="I36" i="18"/>
  <c r="C36" i="18"/>
  <c r="U35" i="18"/>
  <c r="T35" i="18"/>
  <c r="I35" i="18"/>
  <c r="C35" i="18"/>
  <c r="U34" i="18"/>
  <c r="T34" i="18"/>
  <c r="S34" i="18"/>
  <c r="R34" i="18"/>
  <c r="N34" i="18"/>
  <c r="D75" i="17" s="1"/>
  <c r="M34" i="18"/>
  <c r="I34" i="18"/>
  <c r="C34" i="18"/>
  <c r="U33" i="18"/>
  <c r="T33" i="18"/>
  <c r="S33" i="18"/>
  <c r="R33" i="18"/>
  <c r="I33" i="18"/>
  <c r="C33" i="18"/>
  <c r="U32" i="18"/>
  <c r="T32" i="18"/>
  <c r="S32" i="18"/>
  <c r="R32" i="18"/>
  <c r="I32" i="18"/>
  <c r="C32" i="18"/>
  <c r="C31" i="18"/>
  <c r="U30" i="18"/>
  <c r="T30" i="18"/>
  <c r="S30" i="18"/>
  <c r="I30" i="18"/>
  <c r="C30" i="18"/>
  <c r="U28" i="18"/>
  <c r="T28" i="18"/>
  <c r="S28" i="18"/>
  <c r="I28" i="18"/>
  <c r="C28" i="18"/>
  <c r="H26" i="18"/>
  <c r="G26" i="18"/>
  <c r="U58" i="18"/>
  <c r="T58" i="18"/>
  <c r="S58" i="18"/>
  <c r="R58" i="18"/>
  <c r="C58" i="18"/>
  <c r="U57" i="18"/>
  <c r="T57" i="18"/>
  <c r="S57" i="18"/>
  <c r="I57" i="18"/>
  <c r="C57" i="18"/>
  <c r="U56" i="18"/>
  <c r="T56" i="18"/>
  <c r="S56" i="18"/>
  <c r="R56" i="18"/>
  <c r="C56" i="18"/>
  <c r="U55" i="18"/>
  <c r="T55" i="18"/>
  <c r="S55" i="18"/>
  <c r="C55" i="18"/>
  <c r="U54" i="18"/>
  <c r="T54" i="18"/>
  <c r="S54" i="18"/>
  <c r="R54" i="18"/>
  <c r="N54" i="18"/>
  <c r="D66" i="17" s="1"/>
  <c r="M54" i="18"/>
  <c r="I54" i="18"/>
  <c r="C54" i="18"/>
  <c r="U53" i="18"/>
  <c r="T53" i="18"/>
  <c r="S53" i="18"/>
  <c r="R53" i="18"/>
  <c r="I53" i="18"/>
  <c r="C53" i="18"/>
  <c r="U52" i="18"/>
  <c r="T52" i="18"/>
  <c r="R52" i="18"/>
  <c r="I52" i="18"/>
  <c r="H52" i="18"/>
  <c r="H50" i="18" s="1"/>
  <c r="G52" i="18"/>
  <c r="G50" i="18" s="1"/>
  <c r="C52" i="18"/>
  <c r="U49" i="18"/>
  <c r="T49" i="18"/>
  <c r="S49" i="18"/>
  <c r="I49" i="18"/>
  <c r="H49" i="18"/>
  <c r="C49" i="18"/>
  <c r="U48" i="18"/>
  <c r="T48" i="18"/>
  <c r="S48" i="18"/>
  <c r="C48" i="18"/>
  <c r="U47" i="18"/>
  <c r="T47" i="18"/>
  <c r="I47" i="18"/>
  <c r="C47" i="18"/>
  <c r="U46" i="18"/>
  <c r="T46" i="18"/>
  <c r="S46" i="18"/>
  <c r="R46" i="18"/>
  <c r="C46" i="18"/>
  <c r="U45" i="18"/>
  <c r="T45" i="18"/>
  <c r="S45" i="18"/>
  <c r="I45" i="18"/>
  <c r="C45" i="18"/>
  <c r="U44" i="18"/>
  <c r="T44" i="18"/>
  <c r="S44" i="18"/>
  <c r="R44" i="18"/>
  <c r="I44" i="18"/>
  <c r="C44" i="18"/>
  <c r="U42" i="18"/>
  <c r="T42" i="18"/>
  <c r="S42" i="18"/>
  <c r="I42" i="18"/>
  <c r="H42" i="18"/>
  <c r="C42" i="18"/>
  <c r="G40" i="18"/>
  <c r="U13" i="18"/>
  <c r="T13" i="18"/>
  <c r="S13" i="18"/>
  <c r="R13" i="18"/>
  <c r="C13" i="18"/>
  <c r="U12" i="18"/>
  <c r="T12" i="18"/>
  <c r="S12" i="18"/>
  <c r="C12" i="18"/>
  <c r="U10" i="18"/>
  <c r="T10" i="18"/>
  <c r="S10" i="18"/>
  <c r="R10" i="18"/>
  <c r="C10" i="18"/>
  <c r="U8" i="18"/>
  <c r="T8" i="18"/>
  <c r="S8" i="18"/>
  <c r="R8" i="18"/>
  <c r="N8" i="18"/>
  <c r="D53" i="17" s="1"/>
  <c r="M8" i="18"/>
  <c r="C8" i="18"/>
  <c r="U7" i="18"/>
  <c r="T7" i="18"/>
  <c r="S7" i="18"/>
  <c r="R7" i="18"/>
  <c r="I7" i="18"/>
  <c r="C7" i="18"/>
  <c r="U6" i="18"/>
  <c r="T6" i="18"/>
  <c r="S6" i="18"/>
  <c r="R6" i="18"/>
  <c r="C6" i="18"/>
  <c r="U5" i="18"/>
  <c r="T5" i="18"/>
  <c r="I5" i="18"/>
  <c r="C5" i="18"/>
  <c r="U4" i="18"/>
  <c r="T4" i="18"/>
  <c r="S4" i="18"/>
  <c r="I4" i="18"/>
  <c r="C4" i="18"/>
  <c r="H2" i="18"/>
  <c r="G2" i="18"/>
  <c r="AN49" i="2"/>
  <c r="AN50" i="2"/>
  <c r="D51" i="2"/>
  <c r="G51" i="2" s="1"/>
  <c r="A51" i="2"/>
  <c r="C51" i="2"/>
  <c r="S51" i="2"/>
  <c r="D50" i="2"/>
  <c r="G50" i="2" s="1"/>
  <c r="A50" i="2"/>
  <c r="AN66" i="2"/>
  <c r="S47" i="18"/>
  <c r="E29" i="17"/>
  <c r="C50" i="2"/>
  <c r="S50" i="2"/>
  <c r="E42" i="17"/>
  <c r="E40" i="17"/>
  <c r="E10" i="17"/>
  <c r="D14" i="2"/>
  <c r="G14" i="2" s="1"/>
  <c r="E9" i="17"/>
  <c r="AF39" i="2"/>
  <c r="AA39" i="2" s="1"/>
  <c r="AF17" i="2"/>
  <c r="AA17" i="2" s="1"/>
  <c r="E48" i="17"/>
  <c r="C48" i="17"/>
  <c r="E22"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8" i="17"/>
  <c r="B45" i="17"/>
  <c r="B46" i="17"/>
  <c r="B47" i="17"/>
  <c r="B35" i="17"/>
  <c r="B36" i="17"/>
  <c r="B37" i="17"/>
  <c r="B38" i="17"/>
  <c r="B39" i="17"/>
  <c r="B40" i="17"/>
  <c r="B41" i="17"/>
  <c r="B42" i="17"/>
  <c r="B43" i="17"/>
  <c r="B44"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8" i="17"/>
  <c r="I26" i="18" l="1"/>
  <c r="AC16" i="2"/>
  <c r="AC65" i="2"/>
  <c r="AB39" i="2"/>
  <c r="AC114" i="2"/>
  <c r="I2" i="18"/>
  <c r="H40" i="18"/>
  <c r="I40" i="18"/>
  <c r="I50" i="18"/>
  <c r="G66" i="18"/>
  <c r="H66" i="18"/>
  <c r="AC67" i="2"/>
  <c r="Q45" i="18"/>
  <c r="AA49" i="2"/>
  <c r="N45" i="18" s="1"/>
  <c r="D59" i="17" s="1"/>
  <c r="AA60" i="2"/>
  <c r="P5" i="18"/>
  <c r="Q5" i="18"/>
  <c r="Q33" i="18"/>
  <c r="S5" i="18"/>
  <c r="S2" i="18" s="1"/>
  <c r="AA4" i="2"/>
  <c r="N4" i="18" s="1"/>
  <c r="AA3" i="2"/>
  <c r="AF2" i="2"/>
  <c r="AA40" i="2"/>
  <c r="AQ32" i="2"/>
  <c r="AQ105" i="2"/>
  <c r="AQ40" i="2"/>
  <c r="AQ60" i="2"/>
  <c r="AQ46" i="2"/>
  <c r="AQ66" i="2"/>
  <c r="V50" i="2"/>
  <c r="P14" i="18"/>
  <c r="AQ10" i="2"/>
  <c r="AQ14" i="2"/>
  <c r="AQ2" i="2"/>
  <c r="AQ50" i="2"/>
  <c r="AQ49" i="2"/>
  <c r="AS92" i="2"/>
  <c r="AQ28" i="2"/>
  <c r="AS28" i="2" s="1"/>
  <c r="AQ20" i="2"/>
  <c r="AQ37" i="2"/>
  <c r="AS37" i="2" s="1"/>
  <c r="V92" i="2"/>
  <c r="S5" i="12"/>
  <c r="R30" i="18"/>
  <c r="AS122" i="2"/>
  <c r="AS121" i="2"/>
  <c r="AS120" i="2"/>
  <c r="AS119" i="2"/>
  <c r="AS118" i="2"/>
  <c r="AS116" i="2"/>
  <c r="AS113" i="2"/>
  <c r="AS112" i="2"/>
  <c r="AS111" i="2"/>
  <c r="AS110" i="2"/>
  <c r="AS108" i="2"/>
  <c r="AS107" i="2"/>
  <c r="AS104" i="2"/>
  <c r="AS100" i="2"/>
  <c r="AS98" i="2"/>
  <c r="AS97" i="2"/>
  <c r="AS95" i="2"/>
  <c r="AS94" i="2"/>
  <c r="AS82" i="2"/>
  <c r="AS81" i="2"/>
  <c r="AS79" i="2"/>
  <c r="N58" i="18"/>
  <c r="D70" i="17" s="1"/>
  <c r="AS61" i="2"/>
  <c r="N19" i="18"/>
  <c r="D83" i="17" s="1"/>
  <c r="N44" i="18"/>
  <c r="D58" i="17" s="1"/>
  <c r="AS45" i="2"/>
  <c r="AS44" i="2"/>
  <c r="AS26" i="2"/>
  <c r="AS25" i="2"/>
  <c r="AS24" i="2"/>
  <c r="AS23" i="2"/>
  <c r="AS21" i="2"/>
  <c r="V7" i="2"/>
  <c r="J14" i="2"/>
  <c r="L54" i="18"/>
  <c r="L39" i="18"/>
  <c r="M59" i="18"/>
  <c r="L59" i="18" s="1"/>
  <c r="U50" i="18"/>
  <c r="U40" i="18"/>
  <c r="U14" i="18"/>
  <c r="T40" i="18"/>
  <c r="P50" i="18"/>
  <c r="AS7" i="2"/>
  <c r="L36" i="18"/>
  <c r="T2" i="18"/>
  <c r="T14" i="18"/>
  <c r="U2" i="18"/>
  <c r="P26" i="18"/>
  <c r="S26" i="18"/>
  <c r="U26" i="18"/>
  <c r="T26" i="18"/>
  <c r="P40" i="18"/>
  <c r="T50" i="18"/>
  <c r="L34" i="18"/>
  <c r="S40" i="18"/>
  <c r="L38" i="18"/>
  <c r="N10" i="18"/>
  <c r="D54" i="17" s="1"/>
  <c r="AS102" i="2"/>
  <c r="N53" i="18"/>
  <c r="D65" i="17" s="1"/>
  <c r="AS101" i="2"/>
  <c r="N37" i="18"/>
  <c r="D78" i="17" s="1"/>
  <c r="AS99" i="2"/>
  <c r="N46" i="18"/>
  <c r="D60" i="17" s="1"/>
  <c r="AS59" i="2"/>
  <c r="N33" i="18"/>
  <c r="D74" i="17" s="1"/>
  <c r="AS13" i="2"/>
  <c r="AS117" i="2"/>
  <c r="AS115" i="2"/>
  <c r="AS106" i="2"/>
  <c r="AS103" i="2"/>
  <c r="AS91" i="2"/>
  <c r="AS90" i="2"/>
  <c r="AS89" i="2"/>
  <c r="AS86" i="2"/>
  <c r="AS85" i="2"/>
  <c r="AS84" i="2"/>
  <c r="AS83" i="2"/>
  <c r="AS80" i="2"/>
  <c r="AS74" i="2"/>
  <c r="AS69" i="2"/>
  <c r="AS68" i="2"/>
  <c r="AS63" i="2"/>
  <c r="AS58" i="2"/>
  <c r="AS57" i="2"/>
  <c r="AS55" i="2"/>
  <c r="AS48" i="2"/>
  <c r="AS47" i="2"/>
  <c r="AS43" i="2"/>
  <c r="AS29" i="2"/>
  <c r="AS19" i="2"/>
  <c r="AS18" i="2"/>
  <c r="AS12" i="2"/>
  <c r="AS11" i="2"/>
  <c r="V51" i="2"/>
  <c r="AS51" i="2"/>
  <c r="S52" i="18"/>
  <c r="S50" i="18" s="1"/>
  <c r="I20" i="18"/>
  <c r="S87" i="2"/>
  <c r="S86" i="2"/>
  <c r="S76" i="2"/>
  <c r="S71" i="2"/>
  <c r="S69" i="2"/>
  <c r="S68" i="2"/>
  <c r="S66" i="2"/>
  <c r="S58" i="2"/>
  <c r="S55" i="2"/>
  <c r="S10" i="2"/>
  <c r="S117" i="2"/>
  <c r="S103" i="2"/>
  <c r="S90" i="2"/>
  <c r="S89" i="2"/>
  <c r="S85" i="2"/>
  <c r="S19" i="2"/>
  <c r="S18" i="2"/>
  <c r="D33" i="2"/>
  <c r="G33" i="2" s="1"/>
  <c r="C33" i="2"/>
  <c r="A33" i="2"/>
  <c r="R5" i="18" l="1"/>
  <c r="AA2" i="2"/>
  <c r="AS40" i="2"/>
  <c r="AS38" i="2"/>
  <c r="AS77" i="2"/>
  <c r="AS36" i="2"/>
  <c r="AS49" i="2"/>
  <c r="AS50" i="2"/>
  <c r="AS10" i="2"/>
  <c r="AS46" i="2"/>
  <c r="AS42" i="2"/>
  <c r="N25" i="18"/>
  <c r="D88" i="17" s="1"/>
  <c r="BG3" i="2"/>
  <c r="AS3" i="2"/>
  <c r="BH3" i="2"/>
  <c r="AS35" i="2"/>
  <c r="AS87" i="2"/>
  <c r="AS88" i="2"/>
  <c r="N52" i="18"/>
  <c r="D64" i="17" s="1"/>
  <c r="AS66" i="2"/>
  <c r="AS39" i="2"/>
  <c r="AS17" i="2"/>
  <c r="AS64" i="2"/>
  <c r="J33" i="2"/>
  <c r="I14" i="18"/>
  <c r="AF34" i="2"/>
  <c r="AA34" i="2" s="1"/>
  <c r="AF30" i="2"/>
  <c r="AA30" i="2" s="1"/>
  <c r="AF33" i="2"/>
  <c r="AA33" i="2" s="1"/>
  <c r="AF56" i="2"/>
  <c r="AA56" i="2" s="1"/>
  <c r="AG54" i="2"/>
  <c r="S18" i="18" s="1"/>
  <c r="S14" i="18" s="1"/>
  <c r="AF54" i="2"/>
  <c r="C2" i="2"/>
  <c r="C3" i="2"/>
  <c r="C4" i="2"/>
  <c r="C5" i="2"/>
  <c r="C6" i="2"/>
  <c r="C8" i="2"/>
  <c r="C9" i="2"/>
  <c r="C10" i="2"/>
  <c r="C11" i="2"/>
  <c r="C12" i="2"/>
  <c r="C13" i="2"/>
  <c r="C14" i="2"/>
  <c r="C15" i="2"/>
  <c r="C16" i="2"/>
  <c r="C17" i="2"/>
  <c r="C18" i="2"/>
  <c r="C19" i="2"/>
  <c r="C20" i="2"/>
  <c r="C21" i="2"/>
  <c r="C22" i="2"/>
  <c r="C23" i="2"/>
  <c r="C24" i="2"/>
  <c r="C25" i="2"/>
  <c r="C26" i="2"/>
  <c r="C27" i="2"/>
  <c r="C28" i="2"/>
  <c r="C29" i="2"/>
  <c r="C30" i="2"/>
  <c r="C31" i="2"/>
  <c r="C32" i="2"/>
  <c r="C34" i="2"/>
  <c r="C35" i="2"/>
  <c r="C36" i="2"/>
  <c r="C37" i="2"/>
  <c r="C38" i="2"/>
  <c r="C39" i="2"/>
  <c r="C40" i="2"/>
  <c r="C41" i="2"/>
  <c r="C42" i="2"/>
  <c r="C43" i="2"/>
  <c r="C44" i="2"/>
  <c r="C45" i="2"/>
  <c r="C46" i="2"/>
  <c r="C47" i="2"/>
  <c r="C48" i="2"/>
  <c r="C49"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D2" i="2"/>
  <c r="G2" i="2" s="1"/>
  <c r="X116" i="2"/>
  <c r="X100" i="2"/>
  <c r="X96" i="2"/>
  <c r="AF96" i="2"/>
  <c r="AA96" i="2" s="1"/>
  <c r="D15" i="17"/>
  <c r="D12" i="17"/>
  <c r="D39" i="17"/>
  <c r="D38" i="17"/>
  <c r="D36" i="17"/>
  <c r="D34" i="17"/>
  <c r="I64" i="1"/>
  <c r="I58" i="1"/>
  <c r="I55" i="1"/>
  <c r="I54" i="1"/>
  <c r="I52" i="1"/>
  <c r="I51" i="1"/>
  <c r="I49" i="1"/>
  <c r="I53" i="1" s="1"/>
  <c r="I46" i="1"/>
  <c r="I45" i="1"/>
  <c r="I44" i="1"/>
  <c r="I43" i="1"/>
  <c r="I42" i="1"/>
  <c r="I41" i="1"/>
  <c r="I40" i="1"/>
  <c r="I39" i="1"/>
  <c r="I37" i="1"/>
  <c r="I35" i="1"/>
  <c r="I31" i="1"/>
  <c r="I28" i="1"/>
  <c r="I27" i="1"/>
  <c r="I26" i="1"/>
  <c r="I23" i="1"/>
  <c r="I21" i="1"/>
  <c r="I19" i="1"/>
  <c r="I18" i="1"/>
  <c r="I16" i="1"/>
  <c r="I7" i="1"/>
  <c r="I5" i="1"/>
  <c r="I4" i="1"/>
  <c r="C13" i="1"/>
  <c r="C12" i="1"/>
  <c r="C61" i="1"/>
  <c r="C63" i="1"/>
  <c r="C35" i="1"/>
  <c r="C38" i="1"/>
  <c r="C39" i="1"/>
  <c r="C40" i="1"/>
  <c r="C41" i="1"/>
  <c r="C42" i="1"/>
  <c r="C43" i="1"/>
  <c r="C44" i="1"/>
  <c r="C45" i="1"/>
  <c r="C46" i="1"/>
  <c r="C37" i="1"/>
  <c r="C58" i="1"/>
  <c r="C52" i="1"/>
  <c r="C53" i="1"/>
  <c r="C54" i="1"/>
  <c r="C55" i="1"/>
  <c r="C56" i="1"/>
  <c r="C51" i="1"/>
  <c r="C49" i="1"/>
  <c r="C27" i="1"/>
  <c r="C28" i="1"/>
  <c r="C29" i="1"/>
  <c r="C30" i="1"/>
  <c r="C31" i="1"/>
  <c r="C32" i="1"/>
  <c r="C26" i="1"/>
  <c r="C19" i="1"/>
  <c r="C20" i="1"/>
  <c r="C21" i="1"/>
  <c r="C22" i="1"/>
  <c r="C23" i="1"/>
  <c r="C18" i="1"/>
  <c r="C16" i="1"/>
  <c r="C10" i="1"/>
  <c r="C5" i="1"/>
  <c r="C6" i="1"/>
  <c r="C7" i="1"/>
  <c r="C8" i="1"/>
  <c r="AA31" i="2"/>
  <c r="AA105" i="2"/>
  <c r="AF93" i="2"/>
  <c r="AA93" i="2" s="1"/>
  <c r="AF52" i="2"/>
  <c r="AA52" i="2" s="1"/>
  <c r="S63" i="2"/>
  <c r="AF62" i="2"/>
  <c r="AA62" i="2" s="1"/>
  <c r="I2" i="1" l="1"/>
  <c r="B50" i="2"/>
  <c r="B51" i="2"/>
  <c r="B33" i="2"/>
  <c r="B92" i="2"/>
  <c r="B7" i="2"/>
  <c r="AS2" i="2"/>
  <c r="AA54" i="2"/>
  <c r="AS60" i="2"/>
  <c r="N30" i="18"/>
  <c r="D72" i="17" s="1"/>
  <c r="R47" i="18"/>
  <c r="AS114" i="2"/>
  <c r="AS76" i="2"/>
  <c r="AS78" i="2"/>
  <c r="R49" i="18"/>
  <c r="R12" i="18"/>
  <c r="R2" i="18" s="1"/>
  <c r="R55" i="18"/>
  <c r="R22" i="18"/>
  <c r="R42" i="18"/>
  <c r="R57" i="18"/>
  <c r="P2" i="18"/>
  <c r="P66" i="18" s="1"/>
  <c r="R21" i="18"/>
  <c r="R48" i="18"/>
  <c r="R18" i="18"/>
  <c r="R20" i="18"/>
  <c r="R28" i="18"/>
  <c r="I66" i="18"/>
  <c r="S62" i="2"/>
  <c r="S54" i="2"/>
  <c r="S53" i="2"/>
  <c r="S33" i="2"/>
  <c r="S14" i="2"/>
  <c r="S64" i="2"/>
  <c r="S96" i="2"/>
  <c r="AF22" i="2"/>
  <c r="AA22" i="2" s="1"/>
  <c r="A115" i="2"/>
  <c r="D115" i="2"/>
  <c r="G115" i="2" s="1"/>
  <c r="A116" i="2"/>
  <c r="D116" i="2"/>
  <c r="A117" i="2"/>
  <c r="D117" i="2"/>
  <c r="G117" i="2" s="1"/>
  <c r="A118" i="2"/>
  <c r="B118" i="2"/>
  <c r="D118" i="2"/>
  <c r="G118" i="2" s="1"/>
  <c r="A119" i="2"/>
  <c r="B119" i="2"/>
  <c r="D119" i="2"/>
  <c r="G119" i="2" s="1"/>
  <c r="A120" i="2"/>
  <c r="B120" i="2"/>
  <c r="D120" i="2"/>
  <c r="G120" i="2" s="1"/>
  <c r="A121" i="2"/>
  <c r="B121" i="2"/>
  <c r="D121" i="2"/>
  <c r="G121" i="2" s="1"/>
  <c r="A122" i="2"/>
  <c r="B122" i="2"/>
  <c r="D122" i="2"/>
  <c r="G122" i="2" s="1"/>
  <c r="A123" i="2"/>
  <c r="B123" i="2"/>
  <c r="D123" i="2"/>
  <c r="G123" i="2" s="1"/>
  <c r="A124" i="2"/>
  <c r="B124" i="2"/>
  <c r="D124" i="2"/>
  <c r="G124" i="2" s="1"/>
  <c r="A125" i="2"/>
  <c r="B125" i="2"/>
  <c r="D125" i="2"/>
  <c r="G125" i="2" s="1"/>
  <c r="D114" i="2"/>
  <c r="G114" i="2" s="1"/>
  <c r="A114" i="2"/>
  <c r="AI65" i="2"/>
  <c r="AH65" i="2"/>
  <c r="AG65" i="2"/>
  <c r="S65" i="18" s="1"/>
  <c r="S64" i="18" s="1"/>
  <c r="S66" i="18" s="1"/>
  <c r="AF65" i="2"/>
  <c r="S91" i="2"/>
  <c r="S83" i="2"/>
  <c r="S80" i="2"/>
  <c r="S78" i="2"/>
  <c r="S74" i="2"/>
  <c r="S47" i="2"/>
  <c r="S11" i="2"/>
  <c r="G2" i="1"/>
  <c r="G14" i="1"/>
  <c r="G33" i="1"/>
  <c r="I33" i="1"/>
  <c r="G26" i="1"/>
  <c r="G24" i="1" s="1"/>
  <c r="D44" i="17"/>
  <c r="V21" i="2"/>
  <c r="D37" i="17"/>
  <c r="D24" i="17"/>
  <c r="D17" i="17"/>
  <c r="V114" i="2"/>
  <c r="V115" i="2"/>
  <c r="V116" i="2"/>
  <c r="V117" i="2"/>
  <c r="V118" i="2"/>
  <c r="V119" i="2"/>
  <c r="M13" i="18" s="1"/>
  <c r="V120" i="2"/>
  <c r="V121" i="2"/>
  <c r="V122" i="2"/>
  <c r="V123" i="2"/>
  <c r="V124" i="2"/>
  <c r="V125" i="2"/>
  <c r="A21" i="2"/>
  <c r="D21" i="2"/>
  <c r="G21" i="2" s="1"/>
  <c r="H2" i="1"/>
  <c r="H23" i="1"/>
  <c r="H33" i="1"/>
  <c r="AA65" i="2" l="1"/>
  <c r="AS16" i="2"/>
  <c r="R50" i="18"/>
  <c r="R65" i="18"/>
  <c r="R64" i="18" s="1"/>
  <c r="AS33" i="2"/>
  <c r="E43" i="17"/>
  <c r="AS54" i="2"/>
  <c r="AS34" i="2"/>
  <c r="AS56" i="2"/>
  <c r="AS93" i="2"/>
  <c r="J21" i="2"/>
  <c r="Q40" i="18"/>
  <c r="V33" i="2"/>
  <c r="Q50" i="18"/>
  <c r="Q64" i="18"/>
  <c r="T65" i="18"/>
  <c r="T64" i="18" s="1"/>
  <c r="T66" i="18" s="1"/>
  <c r="U65" i="18"/>
  <c r="U64" i="18" s="1"/>
  <c r="U66" i="18" s="1"/>
  <c r="R35" i="18"/>
  <c r="R26" i="18" s="1"/>
  <c r="N28" i="18"/>
  <c r="D71" i="17" s="1"/>
  <c r="AS30" i="2"/>
  <c r="N20" i="18"/>
  <c r="D84" i="17" s="1"/>
  <c r="AS32" i="2"/>
  <c r="N18" i="18"/>
  <c r="D82" i="17" s="1"/>
  <c r="AS53" i="2"/>
  <c r="N48" i="18"/>
  <c r="D62" i="17" s="1"/>
  <c r="AS96" i="2"/>
  <c r="N21" i="18"/>
  <c r="D85" i="17" s="1"/>
  <c r="AS31" i="2"/>
  <c r="Q14" i="18"/>
  <c r="N16" i="18"/>
  <c r="D81" i="17" s="1"/>
  <c r="AS27" i="2"/>
  <c r="AS15" i="2"/>
  <c r="AS105" i="2"/>
  <c r="N57" i="18"/>
  <c r="D69" i="17" s="1"/>
  <c r="D49" i="17"/>
  <c r="AS4" i="2"/>
  <c r="R40" i="18"/>
  <c r="AS52" i="2"/>
  <c r="AS71" i="2"/>
  <c r="AS72" i="2"/>
  <c r="N22" i="18"/>
  <c r="D86" i="17" s="1"/>
  <c r="AS9" i="2"/>
  <c r="N55" i="18"/>
  <c r="D67" i="17" s="1"/>
  <c r="AS8" i="2"/>
  <c r="AS6" i="2"/>
  <c r="AS62" i="2"/>
  <c r="N47" i="18"/>
  <c r="D61" i="17" s="1"/>
  <c r="N49" i="18"/>
  <c r="D63" i="17" s="1"/>
  <c r="AS14" i="2"/>
  <c r="Q26" i="18"/>
  <c r="D27" i="17"/>
  <c r="S65" i="2"/>
  <c r="S22" i="2"/>
  <c r="S67" i="2"/>
  <c r="D43" i="17"/>
  <c r="D13" i="17"/>
  <c r="D29" i="17"/>
  <c r="D23" i="17"/>
  <c r="D30" i="17"/>
  <c r="D45" i="17"/>
  <c r="V111" i="2"/>
  <c r="V112" i="2"/>
  <c r="V113" i="2"/>
  <c r="V104" i="2"/>
  <c r="V106" i="2"/>
  <c r="V107" i="2"/>
  <c r="V108" i="2"/>
  <c r="V110" i="2"/>
  <c r="A104" i="2"/>
  <c r="D104" i="2"/>
  <c r="A3" i="2"/>
  <c r="D3" i="2"/>
  <c r="G3" i="2" s="1"/>
  <c r="A106" i="2"/>
  <c r="D106" i="2"/>
  <c r="G106" i="2" s="1"/>
  <c r="A107" i="2"/>
  <c r="D107" i="2"/>
  <c r="G107" i="2" s="1"/>
  <c r="A108" i="2"/>
  <c r="B108" i="2"/>
  <c r="D108" i="2"/>
  <c r="G108" i="2" s="1"/>
  <c r="A109" i="2"/>
  <c r="B109" i="2"/>
  <c r="D109" i="2"/>
  <c r="G109" i="2" s="1"/>
  <c r="A110" i="2"/>
  <c r="D110" i="2"/>
  <c r="A111" i="2"/>
  <c r="D111" i="2"/>
  <c r="A112" i="2"/>
  <c r="D112" i="2"/>
  <c r="A113" i="2"/>
  <c r="B113" i="2"/>
  <c r="D113" i="2"/>
  <c r="V47" i="2"/>
  <c r="M44" i="18" s="1"/>
  <c r="L44" i="18" s="1"/>
  <c r="V102" i="2"/>
  <c r="M10" i="18" s="1"/>
  <c r="H59" i="1"/>
  <c r="G59" i="1"/>
  <c r="G55" i="1"/>
  <c r="G47" i="1" s="1"/>
  <c r="I14" i="1"/>
  <c r="H16" i="1"/>
  <c r="H14" i="1" s="1"/>
  <c r="H55" i="1"/>
  <c r="H47" i="1" s="1"/>
  <c r="H26" i="1"/>
  <c r="H24" i="1" s="1"/>
  <c r="B3" i="2"/>
  <c r="N6" i="18" l="1"/>
  <c r="D51" i="17" s="1"/>
  <c r="AS20" i="2"/>
  <c r="N35" i="18"/>
  <c r="D76" i="17" s="1"/>
  <c r="AS22" i="2"/>
  <c r="N65" i="18"/>
  <c r="AS65" i="2"/>
  <c r="N56" i="18"/>
  <c r="AS109" i="2"/>
  <c r="AS67" i="2"/>
  <c r="N32" i="18"/>
  <c r="D73" i="17" s="1"/>
  <c r="D40" i="17"/>
  <c r="D8" i="17"/>
  <c r="V109" i="2"/>
  <c r="M56" i="18" s="1"/>
  <c r="D42" i="17"/>
  <c r="V3" i="2"/>
  <c r="I47" i="1"/>
  <c r="I24" i="1"/>
  <c r="G66" i="1"/>
  <c r="H66" i="1"/>
  <c r="N50" i="18" l="1"/>
  <c r="D68" i="17"/>
  <c r="N64" i="18"/>
  <c r="D89" i="17"/>
  <c r="N26" i="18"/>
  <c r="D10" i="17"/>
  <c r="D25" i="17"/>
  <c r="D26" i="17"/>
  <c r="V72" i="2"/>
  <c r="I66" i="1"/>
  <c r="O50" i="18"/>
  <c r="O64" i="18"/>
  <c r="O26" i="18"/>
  <c r="D47" i="2" l="1"/>
  <c r="G47" i="2" s="1"/>
  <c r="A47" i="2"/>
  <c r="D102" i="2"/>
  <c r="G102" i="2" s="1"/>
  <c r="B102" i="2"/>
  <c r="A102" i="2"/>
  <c r="V101" i="2"/>
  <c r="M53" i="18" s="1"/>
  <c r="L53" i="18" s="1"/>
  <c r="D101" i="2"/>
  <c r="A101" i="2"/>
  <c r="V59" i="2"/>
  <c r="M46" i="18" s="1"/>
  <c r="D59" i="2"/>
  <c r="A59" i="2"/>
  <c r="V99" i="2"/>
  <c r="M37" i="18" s="1"/>
  <c r="L37" i="18" s="1"/>
  <c r="D99" i="2"/>
  <c r="A99" i="2"/>
  <c r="V98" i="2"/>
  <c r="D98" i="2"/>
  <c r="A98" i="2"/>
  <c r="V97" i="2"/>
  <c r="D97" i="2"/>
  <c r="A97" i="2"/>
  <c r="V94" i="2"/>
  <c r="D94" i="2"/>
  <c r="A94" i="2"/>
  <c r="J102" i="2" l="1"/>
  <c r="J47" i="2"/>
  <c r="D19" i="17"/>
  <c r="U66" i="1"/>
  <c r="T66" i="1"/>
  <c r="D41" i="2"/>
  <c r="G41" i="2" s="1"/>
  <c r="A41" i="2"/>
  <c r="V48" i="2"/>
  <c r="D48" i="2"/>
  <c r="G48" i="2" s="1"/>
  <c r="A48" i="2"/>
  <c r="D45" i="2"/>
  <c r="A45" i="2"/>
  <c r="D44" i="2"/>
  <c r="A44" i="2"/>
  <c r="X24" i="2"/>
  <c r="D71" i="2"/>
  <c r="G71" i="2" s="1"/>
  <c r="A71" i="2"/>
  <c r="V43" i="2"/>
  <c r="D43" i="2"/>
  <c r="G43" i="2" s="1"/>
  <c r="A43" i="2"/>
  <c r="V39" i="2"/>
  <c r="D39" i="2"/>
  <c r="G39" i="2" s="1"/>
  <c r="A39" i="2"/>
  <c r="J39" i="2" l="1"/>
  <c r="J43" i="2"/>
  <c r="J48" i="2"/>
  <c r="J41" i="2"/>
  <c r="R23" i="18"/>
  <c r="R14" i="18" s="1"/>
  <c r="R66" i="18" s="1"/>
  <c r="AS70" i="2"/>
  <c r="N12" i="18"/>
  <c r="D55" i="17" s="1"/>
  <c r="D46" i="17"/>
  <c r="V71" i="2"/>
  <c r="D14" i="17"/>
  <c r="D22" i="17"/>
  <c r="B47" i="2"/>
  <c r="V44" i="2"/>
  <c r="V45" i="2"/>
  <c r="AS73" i="2" l="1"/>
  <c r="N23" i="18"/>
  <c r="D28" i="17"/>
  <c r="D20" i="17"/>
  <c r="V12" i="2"/>
  <c r="A12" i="2"/>
  <c r="V19" i="2"/>
  <c r="D19" i="2"/>
  <c r="G19" i="2" s="1"/>
  <c r="A19" i="2"/>
  <c r="V18" i="2"/>
  <c r="D18" i="2"/>
  <c r="G18" i="2" s="1"/>
  <c r="A18" i="2"/>
  <c r="A14" i="2"/>
  <c r="V58" i="2"/>
  <c r="D58" i="2"/>
  <c r="G58" i="2" s="1"/>
  <c r="A58" i="2"/>
  <c r="A55" i="2"/>
  <c r="V82" i="2"/>
  <c r="D82" i="2"/>
  <c r="G82" i="2" s="1"/>
  <c r="A82" i="2"/>
  <c r="V79" i="2"/>
  <c r="V80" i="2"/>
  <c r="V81" i="2"/>
  <c r="V83" i="2"/>
  <c r="V84" i="2"/>
  <c r="V85" i="2"/>
  <c r="V86" i="2"/>
  <c r="V87" i="2"/>
  <c r="V89" i="2"/>
  <c r="V90" i="2"/>
  <c r="V91" i="2"/>
  <c r="V34" i="2"/>
  <c r="A34" i="2"/>
  <c r="D34" i="2"/>
  <c r="G34" i="2" s="1"/>
  <c r="A95" i="2"/>
  <c r="D95" i="2"/>
  <c r="N14" i="18" l="1"/>
  <c r="D87" i="17"/>
  <c r="J34" i="2"/>
  <c r="J58" i="2"/>
  <c r="J18" i="2"/>
  <c r="J19" i="2"/>
  <c r="V78" i="2"/>
  <c r="D32" i="17"/>
  <c r="V95" i="2"/>
  <c r="V55" i="2"/>
  <c r="M19" i="18" s="1"/>
  <c r="L19" i="18" s="1"/>
  <c r="A90" i="2"/>
  <c r="D90" i="2"/>
  <c r="G90" i="2" s="1"/>
  <c r="A91" i="2"/>
  <c r="D91" i="2"/>
  <c r="G91" i="2" s="1"/>
  <c r="A79" i="2"/>
  <c r="D79" i="2"/>
  <c r="G79" i="2" s="1"/>
  <c r="A80" i="2"/>
  <c r="D80" i="2"/>
  <c r="G80" i="2" s="1"/>
  <c r="A81" i="2"/>
  <c r="D81" i="2"/>
  <c r="G81" i="2" s="1"/>
  <c r="A83" i="2"/>
  <c r="D83" i="2"/>
  <c r="G83" i="2" s="1"/>
  <c r="A84" i="2"/>
  <c r="D84" i="2"/>
  <c r="G84" i="2" s="1"/>
  <c r="A85" i="2"/>
  <c r="D85" i="2"/>
  <c r="G85" i="2" s="1"/>
  <c r="A86" i="2"/>
  <c r="D86" i="2"/>
  <c r="G86" i="2" s="1"/>
  <c r="A87" i="2"/>
  <c r="D87" i="2"/>
  <c r="G87" i="2" s="1"/>
  <c r="A89" i="2"/>
  <c r="D89" i="2"/>
  <c r="G89" i="2" s="1"/>
  <c r="A28" i="2"/>
  <c r="A2" i="2"/>
  <c r="A5" i="2"/>
  <c r="A6" i="2"/>
  <c r="A8" i="2"/>
  <c r="A9" i="2"/>
  <c r="A10" i="2"/>
  <c r="A11" i="2"/>
  <c r="A96" i="2"/>
  <c r="A100" i="2"/>
  <c r="A60" i="2"/>
  <c r="A36" i="2"/>
  <c r="A37" i="2"/>
  <c r="A38" i="2"/>
  <c r="A40" i="2"/>
  <c r="A42" i="2"/>
  <c r="A22" i="2"/>
  <c r="A23" i="2"/>
  <c r="A24" i="2"/>
  <c r="A25" i="2"/>
  <c r="A26" i="2"/>
  <c r="A46" i="2"/>
  <c r="A35" i="2"/>
  <c r="A29" i="2"/>
  <c r="A4" i="2"/>
  <c r="A13" i="2"/>
  <c r="A77" i="2"/>
  <c r="A88" i="2"/>
  <c r="A93" i="2"/>
  <c r="A105" i="2"/>
  <c r="A30" i="2"/>
  <c r="A15" i="2"/>
  <c r="A16" i="2"/>
  <c r="A17" i="2"/>
  <c r="A52" i="2"/>
  <c r="A27" i="2"/>
  <c r="A31" i="2"/>
  <c r="A32" i="2"/>
  <c r="A53" i="2"/>
  <c r="A54" i="2"/>
  <c r="A56" i="2"/>
  <c r="A57" i="2"/>
  <c r="A62" i="2"/>
  <c r="A63" i="2"/>
  <c r="A61" i="2"/>
  <c r="A103" i="2"/>
  <c r="A64" i="2"/>
  <c r="A65" i="2"/>
  <c r="A66" i="2"/>
  <c r="A67" i="2"/>
  <c r="A68" i="2"/>
  <c r="A69" i="2"/>
  <c r="A70" i="2"/>
  <c r="A72" i="2"/>
  <c r="A73" i="2"/>
  <c r="A74" i="2"/>
  <c r="A75" i="2"/>
  <c r="A76" i="2"/>
  <c r="A20" i="2"/>
  <c r="A78" i="2"/>
  <c r="A49" i="2"/>
  <c r="D78" i="2"/>
  <c r="G78" i="2" s="1"/>
  <c r="V73" i="2"/>
  <c r="M23" i="18" s="1"/>
  <c r="D73" i="2"/>
  <c r="G73" i="2" s="1"/>
  <c r="D76" i="2"/>
  <c r="G76" i="2" s="1"/>
  <c r="D20" i="2"/>
  <c r="G20" i="2" s="1"/>
  <c r="O14" i="18"/>
  <c r="J20" i="2" l="1"/>
  <c r="J89" i="2"/>
  <c r="J87" i="2"/>
  <c r="J86" i="2"/>
  <c r="J85" i="2"/>
  <c r="J84" i="2"/>
  <c r="J83" i="2"/>
  <c r="J91" i="2"/>
  <c r="J90" i="2"/>
  <c r="Q2" i="18"/>
  <c r="Q66" i="18" s="1"/>
  <c r="S75" i="2"/>
  <c r="V76" i="2"/>
  <c r="V69" i="2"/>
  <c r="V67" i="2"/>
  <c r="V68" i="2"/>
  <c r="V70" i="2"/>
  <c r="V23" i="2"/>
  <c r="V24" i="2"/>
  <c r="V38" i="2"/>
  <c r="B2" i="2"/>
  <c r="D64" i="2"/>
  <c r="G64" i="2" s="1"/>
  <c r="B65" i="2"/>
  <c r="D65" i="2"/>
  <c r="D66" i="2"/>
  <c r="G66" i="2" s="1"/>
  <c r="D68" i="2"/>
  <c r="G68" i="2" s="1"/>
  <c r="D69" i="2"/>
  <c r="G69" i="2" s="1"/>
  <c r="D70" i="2"/>
  <c r="G70" i="2" s="1"/>
  <c r="D72" i="2"/>
  <c r="G72" i="2" s="1"/>
  <c r="D75" i="2"/>
  <c r="G75" i="2" s="1"/>
  <c r="V64" i="2"/>
  <c r="V65" i="2"/>
  <c r="M65" i="18" s="1"/>
  <c r="M64" i="18" s="1"/>
  <c r="L64" i="18" s="1"/>
  <c r="D57" i="2"/>
  <c r="G57" i="2" s="1"/>
  <c r="D103" i="2"/>
  <c r="G103" i="2" s="1"/>
  <c r="V56" i="2"/>
  <c r="V62" i="2"/>
  <c r="V63" i="2"/>
  <c r="V61" i="2"/>
  <c r="D38" i="2"/>
  <c r="G38" i="2" s="1"/>
  <c r="D27" i="2"/>
  <c r="G27" i="2" s="1"/>
  <c r="D31" i="2"/>
  <c r="G31" i="2" s="1"/>
  <c r="V52" i="2"/>
  <c r="V53" i="2"/>
  <c r="V54" i="2"/>
  <c r="D15" i="2"/>
  <c r="G15" i="2" s="1"/>
  <c r="D16" i="2"/>
  <c r="G16" i="2" s="1"/>
  <c r="D17" i="2"/>
  <c r="G17" i="2" s="1"/>
  <c r="V30" i="2"/>
  <c r="M28" i="18" s="1"/>
  <c r="L28" i="18" s="1"/>
  <c r="V16" i="2"/>
  <c r="V17" i="2"/>
  <c r="D29" i="2"/>
  <c r="G29" i="2" s="1"/>
  <c r="D4" i="2"/>
  <c r="G4" i="2" s="1"/>
  <c r="D13" i="2"/>
  <c r="G13" i="2" s="1"/>
  <c r="D93" i="2"/>
  <c r="G93" i="2" s="1"/>
  <c r="D105" i="2"/>
  <c r="G105" i="2" s="1"/>
  <c r="V4" i="2"/>
  <c r="V13" i="2"/>
  <c r="B93" i="2"/>
  <c r="B64" i="2"/>
  <c r="B101" i="2"/>
  <c r="B77" i="2"/>
  <c r="D77" i="2"/>
  <c r="G77" i="2" s="1"/>
  <c r="D88" i="2"/>
  <c r="G88" i="2" s="1"/>
  <c r="B32" i="2"/>
  <c r="B30" i="2"/>
  <c r="B103" i="2"/>
  <c r="B44" i="2"/>
  <c r="D35" i="2"/>
  <c r="G35" i="2" s="1"/>
  <c r="D32" i="2"/>
  <c r="G32" i="2" s="1"/>
  <c r="B26" i="2"/>
  <c r="B19" i="2"/>
  <c r="J32" i="2" l="1"/>
  <c r="J35" i="2"/>
  <c r="J88" i="2"/>
  <c r="J77" i="2"/>
  <c r="J105" i="2"/>
  <c r="J93" i="2"/>
  <c r="J13" i="2"/>
  <c r="J4" i="2"/>
  <c r="J29" i="2"/>
  <c r="J17" i="2"/>
  <c r="J16" i="2"/>
  <c r="J15" i="2"/>
  <c r="J31" i="2"/>
  <c r="J27" i="2"/>
  <c r="J38" i="2"/>
  <c r="J103" i="2"/>
  <c r="J57" i="2"/>
  <c r="J72" i="2"/>
  <c r="J64" i="2"/>
  <c r="AS75" i="2"/>
  <c r="N7" i="18"/>
  <c r="V75" i="2"/>
  <c r="B35" i="2"/>
  <c r="B117" i="2"/>
  <c r="B114" i="2"/>
  <c r="V57" i="2"/>
  <c r="M32" i="18" s="1"/>
  <c r="L32" i="18" s="1"/>
  <c r="B94" i="2"/>
  <c r="B104" i="2"/>
  <c r="B98" i="2"/>
  <c r="B97" i="2"/>
  <c r="B58" i="2"/>
  <c r="V15" i="2"/>
  <c r="V29" i="2"/>
  <c r="M4" i="18" s="1"/>
  <c r="V66" i="2"/>
  <c r="V27" i="2"/>
  <c r="M16" i="18" s="1"/>
  <c r="V74" i="2"/>
  <c r="M58" i="18" s="1"/>
  <c r="V31" i="2"/>
  <c r="M21" i="18" s="1"/>
  <c r="L21" i="18" s="1"/>
  <c r="B88" i="2"/>
  <c r="B48" i="2"/>
  <c r="B45" i="2"/>
  <c r="B56" i="2"/>
  <c r="B55" i="2"/>
  <c r="B72" i="2"/>
  <c r="B38" i="2"/>
  <c r="B18" i="2"/>
  <c r="B67" i="2"/>
  <c r="D54" i="2"/>
  <c r="G54" i="2" s="1"/>
  <c r="D55" i="2"/>
  <c r="G55" i="2" s="1"/>
  <c r="B73" i="2"/>
  <c r="V77" i="2"/>
  <c r="V103" i="2"/>
  <c r="V105" i="2"/>
  <c r="M57" i="18" s="1"/>
  <c r="L57" i="18" s="1"/>
  <c r="V32" i="2"/>
  <c r="M20" i="18" s="1"/>
  <c r="L20" i="18" s="1"/>
  <c r="V93" i="2"/>
  <c r="V88" i="2"/>
  <c r="B105" i="2"/>
  <c r="B54" i="2"/>
  <c r="D53" i="2"/>
  <c r="G53" i="2" s="1"/>
  <c r="B53" i="2"/>
  <c r="B46" i="2"/>
  <c r="D28" i="2"/>
  <c r="G28" i="2" s="1"/>
  <c r="D46" i="2"/>
  <c r="G46" i="2" s="1"/>
  <c r="B28" i="2"/>
  <c r="D30" i="2"/>
  <c r="G30" i="2" s="1"/>
  <c r="B57" i="2"/>
  <c r="D56" i="2"/>
  <c r="G56" i="2" s="1"/>
  <c r="D26" i="2"/>
  <c r="G26" i="2" s="1"/>
  <c r="D25" i="2"/>
  <c r="G25" i="2" s="1"/>
  <c r="B25" i="2"/>
  <c r="B24" i="2"/>
  <c r="D24" i="2"/>
  <c r="D23" i="2"/>
  <c r="B23" i="2"/>
  <c r="D22" i="2"/>
  <c r="G22" i="2" s="1"/>
  <c r="B22" i="2"/>
  <c r="D42" i="2"/>
  <c r="G42" i="2" s="1"/>
  <c r="V11" i="2"/>
  <c r="V10" i="2"/>
  <c r="B8" i="2"/>
  <c r="B36" i="2"/>
  <c r="B37" i="2"/>
  <c r="B40" i="2"/>
  <c r="B42" i="2"/>
  <c r="D6" i="2"/>
  <c r="G6" i="2" s="1"/>
  <c r="D8" i="2"/>
  <c r="G8" i="2" s="1"/>
  <c r="D36" i="2"/>
  <c r="G36" i="2" s="1"/>
  <c r="D37" i="2"/>
  <c r="G37" i="2" s="1"/>
  <c r="D40" i="2"/>
  <c r="G40" i="2" s="1"/>
  <c r="D100" i="2"/>
  <c r="D96" i="2"/>
  <c r="G96" i="2" s="1"/>
  <c r="D60" i="2"/>
  <c r="G60" i="2" s="1"/>
  <c r="B96" i="2"/>
  <c r="B115" i="2"/>
  <c r="B6" i="2"/>
  <c r="B116" i="2"/>
  <c r="B110" i="2"/>
  <c r="D52" i="17" l="1"/>
  <c r="J60" i="2"/>
  <c r="J96" i="2"/>
  <c r="J40" i="2"/>
  <c r="J37" i="2"/>
  <c r="J36" i="2"/>
  <c r="J8" i="2"/>
  <c r="J6" i="2"/>
  <c r="J42" i="2"/>
  <c r="J22" i="2"/>
  <c r="J25" i="2"/>
  <c r="J26" i="2"/>
  <c r="J56" i="2"/>
  <c r="J30" i="2"/>
  <c r="J46" i="2"/>
  <c r="J28" i="2"/>
  <c r="J53" i="2"/>
  <c r="J55" i="2"/>
  <c r="J54" i="2"/>
  <c r="M7" i="18"/>
  <c r="L7" i="18" s="1"/>
  <c r="M52" i="18"/>
  <c r="L16" i="18"/>
  <c r="L4" i="18"/>
  <c r="D11" i="17"/>
  <c r="B71" i="2"/>
  <c r="B112" i="2"/>
  <c r="B21" i="2"/>
  <c r="B111" i="2"/>
  <c r="V100" i="2"/>
  <c r="B106" i="2"/>
  <c r="B107" i="2"/>
  <c r="B59" i="2"/>
  <c r="B60" i="2"/>
  <c r="B99" i="2"/>
  <c r="B100" i="2"/>
  <c r="B12" i="2"/>
  <c r="B16" i="2"/>
  <c r="B41" i="2"/>
  <c r="B27" i="2"/>
  <c r="B39" i="2"/>
  <c r="B43" i="2"/>
  <c r="V14" i="2"/>
  <c r="M49" i="18" s="1"/>
  <c r="L49" i="18" s="1"/>
  <c r="D74" i="2"/>
  <c r="G74" i="2" s="1"/>
  <c r="D12" i="2"/>
  <c r="G12" i="2" s="1"/>
  <c r="B49" i="2"/>
  <c r="B14" i="2"/>
  <c r="D61" i="2"/>
  <c r="G61" i="2" s="1"/>
  <c r="D67" i="2"/>
  <c r="G67" i="2" s="1"/>
  <c r="B34" i="2"/>
  <c r="B95" i="2"/>
  <c r="B82" i="2"/>
  <c r="B78" i="2"/>
  <c r="B79" i="2"/>
  <c r="B85" i="2"/>
  <c r="B80" i="2"/>
  <c r="B86" i="2"/>
  <c r="B89" i="2"/>
  <c r="B91" i="2"/>
  <c r="B81" i="2"/>
  <c r="B84" i="2"/>
  <c r="B87" i="2"/>
  <c r="B90" i="2"/>
  <c r="B83" i="2"/>
  <c r="B61" i="2"/>
  <c r="B76" i="2"/>
  <c r="B20" i="2"/>
  <c r="B75" i="2"/>
  <c r="B68" i="2"/>
  <c r="B69" i="2"/>
  <c r="B70" i="2"/>
  <c r="B66" i="2"/>
  <c r="B74" i="2"/>
  <c r="B62" i="2"/>
  <c r="B63" i="2"/>
  <c r="D63" i="2"/>
  <c r="G63" i="2" s="1"/>
  <c r="D62" i="2"/>
  <c r="G62" i="2" s="1"/>
  <c r="B52" i="2"/>
  <c r="B4" i="2"/>
  <c r="B15" i="2"/>
  <c r="B31" i="2"/>
  <c r="B17" i="2"/>
  <c r="D5" i="2"/>
  <c r="G5" i="2" s="1"/>
  <c r="D52" i="2"/>
  <c r="G52" i="2" s="1"/>
  <c r="B13" i="2"/>
  <c r="B29" i="2"/>
  <c r="B9" i="2"/>
  <c r="D9" i="2"/>
  <c r="G9" i="2" s="1"/>
  <c r="D49" i="2"/>
  <c r="G49" i="2" s="1"/>
  <c r="D11" i="2"/>
  <c r="G11" i="2" s="1"/>
  <c r="B11" i="2"/>
  <c r="D10" i="2"/>
  <c r="G10" i="2" s="1"/>
  <c r="B10" i="2"/>
  <c r="B5" i="2"/>
  <c r="J10" i="2" l="1"/>
  <c r="J11" i="2"/>
  <c r="J49" i="2"/>
  <c r="J9" i="2"/>
  <c r="J52" i="2"/>
  <c r="J5" i="2"/>
  <c r="J62" i="2"/>
  <c r="J63" i="2"/>
  <c r="J61" i="2"/>
  <c r="J12" i="2"/>
  <c r="L52" i="18"/>
  <c r="D21" i="17"/>
  <c r="V20" i="2" l="1"/>
  <c r="M6" i="18" s="1"/>
  <c r="V26" i="2"/>
  <c r="V25" i="2"/>
  <c r="V42" i="2" l="1"/>
  <c r="V46" i="2"/>
  <c r="S66" i="1"/>
  <c r="E31" i="17"/>
  <c r="D33" i="17"/>
  <c r="R66" i="1"/>
  <c r="D47" i="17"/>
  <c r="D18" i="17"/>
  <c r="E41" i="17"/>
  <c r="V9" i="2"/>
  <c r="M22" i="18" s="1"/>
  <c r="L22" i="18" s="1"/>
  <c r="V8" i="2"/>
  <c r="M55" i="18" s="1"/>
  <c r="M50" i="18" s="1"/>
  <c r="L50" i="18" s="1"/>
  <c r="V6" i="2"/>
  <c r="M12" i="18" s="1"/>
  <c r="E35" i="17" l="1"/>
  <c r="D16" i="17"/>
  <c r="P66" i="1"/>
  <c r="D31" i="17"/>
  <c r="V22" i="2"/>
  <c r="D35" i="17"/>
  <c r="V40" i="2"/>
  <c r="V2" i="2"/>
  <c r="V28" i="2"/>
  <c r="M18" i="18" s="1"/>
  <c r="V37" i="2"/>
  <c r="M33" i="18" s="1"/>
  <c r="L33" i="18" s="1"/>
  <c r="V60" i="2"/>
  <c r="M47" i="18" s="1"/>
  <c r="L47" i="18" s="1"/>
  <c r="V35" i="2"/>
  <c r="M25" i="18" s="1"/>
  <c r="L25" i="18" s="1"/>
  <c r="V96" i="2"/>
  <c r="M48" i="18" s="1"/>
  <c r="V49" i="2"/>
  <c r="M45" i="18" s="1"/>
  <c r="L45" i="18" l="1"/>
  <c r="L18" i="18"/>
  <c r="M14" i="18"/>
  <c r="L14" i="18" s="1"/>
  <c r="M35" i="18"/>
  <c r="L35" i="18" s="1"/>
  <c r="D41" i="17"/>
  <c r="D48" i="17"/>
  <c r="D9" i="17"/>
  <c r="Q66" i="1"/>
  <c r="M65" i="1"/>
  <c r="V36" i="2" l="1"/>
  <c r="M30" i="18" s="1"/>
  <c r="L30" i="18" l="1"/>
  <c r="M26" i="18"/>
  <c r="N66" i="1"/>
  <c r="O66" i="1" l="1"/>
  <c r="E90" i="17"/>
  <c r="L26" i="18"/>
  <c r="U67" i="1"/>
  <c r="V41" i="2"/>
  <c r="M5" i="18" s="1"/>
  <c r="L5" i="18" s="1"/>
  <c r="V5" i="2"/>
  <c r="M42" i="18" s="1"/>
  <c r="L42" i="18" s="1"/>
  <c r="N5" i="18"/>
  <c r="N2" i="18" s="1"/>
  <c r="N42" i="18"/>
  <c r="D57" i="17" s="1"/>
  <c r="E16" i="17"/>
  <c r="AS41" i="2"/>
  <c r="AS5" i="2"/>
  <c r="O2" i="18"/>
  <c r="N40" i="18" l="1"/>
  <c r="D50" i="17"/>
  <c r="M2" i="18"/>
  <c r="M40" i="18"/>
  <c r="L40" i="18" s="1"/>
  <c r="O40" i="18"/>
  <c r="M66" i="18" l="1"/>
  <c r="L2" i="18"/>
  <c r="N66" i="18"/>
  <c r="O66" i="18"/>
  <c r="U67" i="18" l="1"/>
  <c r="D9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tc={FA366DC2-A323-439A-A28B-3E5C18FC144E}</author>
    <author>tc={C463527D-0753-4812-8393-5E7EF851B5C6}</author>
    <author>tc={B918C222-A613-460B-A918-75E5144854F6}</author>
    <author>tc={72E93582-CE76-4C43-80F9-91C117D75641}</author>
    <author>tc={933A4DB9-E023-4810-BE90-56948B9A62DC}</author>
    <author>tc={94E753FD-D9AC-4E50-8F3C-3D18727BFD34}</author>
    <author>tc={A1275A80-1388-4D27-9B8C-C19641D0D84B}</author>
    <author>tc={F437EAD1-9471-4512-AC35-EFF9FB7E1611}</author>
    <author>tc={C473FBE4-CB13-4970-97EF-04CA4FBD6B32}</author>
    <author>tc={E3434CAD-DE46-49E5-9062-FF373ED48BB9}</author>
    <author>tc={2C88F379-7DB3-4E40-8C49-CF12435DCEAF}</author>
    <author>tc={1BA1E7EE-4AE7-4339-A0BB-B92B21C4E5B1}</author>
    <author>tc={329D15C7-CE35-496C-8577-0F4D61EFF597}</author>
    <author>tc={8D914034-729E-4EC2-BACD-0449BDC56E8B}</author>
    <author>tc={4F2437A8-7E1D-4331-B757-53523C744051}</author>
    <author>tc={DF355B5E-02EC-4619-8602-7E5967D0A165}</author>
    <author>tc={B1F83D0A-3031-403D-8DDC-F3D945B743D9}</author>
    <author>tc={651D0245-09B2-4BFD-8E51-8E8F0CC15172}</author>
    <author>tc={3AA39810-CBD3-4A0F-ACB7-637DC7678051}</author>
    <author>tc={33D512AC-A3B0-4914-9039-5D4104EAB03C}</author>
    <author>tc={7D3408BD-9714-4D73-8F93-0403ECEBEDE5}</author>
    <author>tc={1166E1B1-03D1-46F6-9B58-B0E45DC192E9}</author>
    <author>tc={C12DC430-85B6-444C-9EB2-CB0D33416743}</author>
    <author>tc={25A247B7-6473-4563-A8F8-BF7B531C0F25}</author>
    <author>tc={8F22DDC8-C2DC-46F3-8FCE-BE771476DF63}</author>
  </authors>
  <commentList>
    <comment ref="G14" authorId="0" shapeId="0" xr:uid="{FA366DC2-A323-439A-A28B-3E5C18FC144E}">
      <text>
        <t>[Threaded comment]
Your version of Excel allows you to read this threaded comment; however, any edits to it will get removed if the file is opened in a newer version of Excel. Learn more: https://go.microsoft.com/fwlink/?linkid=870924
Comment:
    Increased $100k as CAP training moved from KRA3 to 5</t>
      </text>
    </comment>
    <comment ref="H14" authorId="1" shapeId="0" xr:uid="{C463527D-0753-4812-8393-5E7EF851B5C6}">
      <text>
        <t>[Threaded comment]
Your version of Excel allows you to read this threaded comment; however, any edits to it will get removed if the file is opened in a newer version of Excel. Learn more: https://go.microsoft.com/fwlink/?linkid=870924
Comment:
    Total increased
CAP training $100k moved from KRA3 to KRA5</t>
      </text>
    </comment>
    <comment ref="I14" authorId="2" shapeId="0" xr:uid="{B918C222-A613-460B-A918-75E5144854F6}">
      <text>
        <t>[Threaded comment]
Your version of Excel allows you to read this threaded comment; however, any edits to it will get removed if the file is opened in a newer version of Excel. Learn more: https://go.microsoft.com/fwlink/?linkid=870924
Comment:
    Total increased by 
CAP training $200k from KRA2 to 5</t>
      </text>
    </comment>
    <comment ref="G22" authorId="3" shapeId="0" xr:uid="{72E93582-CE76-4C43-80F9-91C117D75641}">
      <text>
        <t>[Threaded comment]
Your version of Excel allows you to read this threaded comment; however, any edits to it will get removed if the file is opened in a newer version of Excel. Learn more: https://go.microsoft.com/fwlink/?linkid=870924
Comment:
    Short term capacity development workshop $100k
CAP training - $100k moved from KRA3 to KRA5</t>
      </text>
    </comment>
    <comment ref="H22" authorId="4" shapeId="0" xr:uid="{933A4DB9-E023-4810-BE90-56948B9A62DC}">
      <text>
        <t>[Threaded comment]
Your version of Excel allows you to read this threaded comment; however, any edits to it will get removed if the file is opened in a newer version of Excel. Learn more: https://go.microsoft.com/fwlink/?linkid=870924
Comment:
    CAP training - $100k moved from KRA3 to KRA5</t>
      </text>
    </comment>
    <comment ref="I22" authorId="5" shapeId="0" xr:uid="{94E753FD-D9AC-4E50-8F3C-3D18727BFD34}">
      <text>
        <t>[Threaded comment]
Your version of Excel allows you to read this threaded comment; however, any edits to it will get removed if the file is opened in a newer version of Excel. Learn more: https://go.microsoft.com/fwlink/?linkid=870924
Comment:
    CAP training - $200k moved from KRA3 to KRA5
Merged with QMS training 980k</t>
      </text>
    </comment>
    <comment ref="H26" authorId="6" shapeId="0" xr:uid="{A1275A80-1388-4D27-9B8C-C19641D0D84B}">
      <text>
        <t>[Threaded comment]
Your version of Excel allows you to read this threaded comment; however, any edits to it will get removed if the file is opened in a newer version of Excel. Learn more: https://go.microsoft.com/fwlink/?linkid=870924
Comment:
    Total reduced by
Moved ICT infrastructure with cybersecurity to KRA4 $700k</t>
      </text>
    </comment>
    <comment ref="I26" authorId="7" shapeId="0" xr:uid="{F437EAD1-9471-4512-AC35-EFF9FB7E1611}">
      <text>
        <t>[Threaded comment]
Your version of Excel allows you to read this threaded comment; however, any edits to it will get removed if the file is opened in a newer version of Excel. Learn more: https://go.microsoft.com/fwlink/?linkid=870924
Comment:
    Reduced by
ICT infrastructure, cybersecurity, forecaster workstations to KRA4 $7.22M</t>
      </text>
    </comment>
    <comment ref="G30" authorId="8" shapeId="0" xr:uid="{C473FBE4-CB13-4970-97EF-04CA4FBD6B32}">
      <text>
        <t>[Threaded comment]
Your version of Excel allows you to read this threaded comment; however, any edits to it will get removed if the file is opened in a newer version of Excel. Learn more: https://go.microsoft.com/fwlink/?linkid=870924
Comment:
    $1M network plans
50k regional principles and standards</t>
      </text>
    </comment>
    <comment ref="H32" authorId="9" shapeId="0" xr:uid="{E3434CAD-DE46-49E5-9062-FF373ED48BB9}">
      <text>
        <t>[Threaded comment]
Your version of Excel allows you to read this threaded comment; however, any edits to it will get removed if the file is opened in a newer version of Excel. Learn more: https://go.microsoft.com/fwlink/?linkid=870924
Comment:
    cost of SPC staff only. 
Asset management and maintenance staff not budgeted originally.</t>
      </text>
    </comment>
    <comment ref="I32" authorId="10" shapeId="0" xr:uid="{2C88F379-7DB3-4E40-8C49-CF12435DCEAF}">
      <text>
        <t>[Threaded comment]
Your version of Excel allows you to read this threaded comment; however, any edits to it will get removed if the file is opened in a newer version of Excel. Learn more: https://go.microsoft.com/fwlink/?linkid=870924
Comment:
    cost of SPC staff only. 
Asset management and maintenance staff not budgeted originally.</t>
      </text>
    </comment>
    <comment ref="I33" authorId="11" shapeId="0" xr:uid="{1BA1E7EE-4AE7-4339-A0BB-B92B21C4E5B1}">
      <text>
        <t>[Threaded comment]
Your version of Excel allows you to read this threaded comment; however, any edits to it will get removed if the file is opened in a newer version of Excel. Learn more: https://go.microsoft.com/fwlink/?linkid=870924
Comment:
    Reduced by $1M and move to network plans above</t>
      </text>
    </comment>
    <comment ref="F36" authorId="12" shapeId="0" xr:uid="{329D15C7-CE35-496C-8577-0F4D61EFF597}">
      <text>
        <t>[Threaded comment]
Your version of Excel allows you to read this threaded comment; however, any edits to it will get removed if the file is opened in a newer version of Excel. Learn more: https://go.microsoft.com/fwlink/?linkid=870924
Comment:
    Check with SPC if they prefer this terminology of ocean monitoring rather than be specific to wave buoys, as there is a lot of technology options</t>
      </text>
    </comment>
    <comment ref="H40" authorId="13" shapeId="0" xr:uid="{8D914034-729E-4EC2-BACD-0449BDC56E8B}">
      <text>
        <t>[Threaded comment]
Your version of Excel allows you to read this threaded comment; however, any edits to it will get removed if the file is opened in a newer version of Excel. Learn more: https://go.microsoft.com/fwlink/?linkid=870924
Comment:
    Added ICT infrastructure with cybersecurity from KRA4 $700k</t>
      </text>
    </comment>
    <comment ref="I40" authorId="14" shapeId="0" xr:uid="{4F2437A8-7E1D-4331-B757-53523C744051}">
      <text>
        <t>[Threaded comment]
Your version of Excel allows you to read this threaded comment; however, any edits to it will get removed if the file is opened in a newer version of Excel. Learn more: https://go.microsoft.com/fwlink/?linkid=870924
Comment:
    Added ICT infrastructure and cybersecurity and forecaster workstations $7.22M</t>
      </text>
    </comment>
    <comment ref="H42" authorId="15" shapeId="0" xr:uid="{DF355B5E-02EC-4619-8602-7E5967D0A165}">
      <text>
        <t>[Threaded comment]
Your version of Excel allows you to read this threaded comment; however, any edits to it will get removed if the file is opened in a newer version of Excel. Learn more: https://go.microsoft.com/fwlink/?linkid=870924
Comment:
    IFP - $100k
WIS - $200k
High accessibility ICT infrastructure with cybersecurity $700k from KRA4</t>
      </text>
    </comment>
    <comment ref="I42" authorId="16" shapeId="0" xr:uid="{B1F83D0A-3031-403D-8DDC-F3D945B743D9}">
      <text>
        <t>[Threaded comment]
Your version of Excel allows you to read this threaded comment; however, any edits to it will get removed if the file is opened in a newer version of Excel. Learn more: https://go.microsoft.com/fwlink/?linkid=870924
Comment:
    IFP $11M 
ICT infrastructure with cybersecurity, standalone forecaster work stations and technical workshops $7.22M transferred from KRA4</t>
      </text>
    </comment>
    <comment ref="G50" authorId="17" shapeId="0" xr:uid="{651D0245-09B2-4BFD-8E51-8E8F0CC15172}">
      <text>
        <t>[Threaded comment]
Your version of Excel allows you to read this threaded comment; however, any edits to it will get removed if the file is opened in a newer version of Excel. Learn more: https://go.microsoft.com/fwlink/?linkid=870924
Comment:
    Moved CAP training $100k to KRA2 people capability, so total reduced</t>
      </text>
    </comment>
    <comment ref="H50" authorId="18" shapeId="0" xr:uid="{3AA39810-CBD3-4A0F-ACB7-637DC7678051}">
      <text>
        <t>[Threaded comment]
Your version of Excel allows you to read this threaded comment; however, any edits to it will get removed if the file is opened in a newer version of Excel. Learn more: https://go.microsoft.com/fwlink/?linkid=870924
Comment:
    Moved CAP training $100k to KRA5, so total reduced by $100k</t>
      </text>
    </comment>
    <comment ref="I50" authorId="19" shapeId="0" xr:uid="{33D512AC-A3B0-4914-9039-5D4104EAB03C}">
      <text>
        <t>[Threaded comment]
Your version of Excel allows you to read this threaded comment; however, any edits to it will get removed if the file is opened in a newer version of Excel. Learn more: https://go.microsoft.com/fwlink/?linkid=870924
Comment:
    Moved CAP training $200k to KRA5, so total reduced by $200k</t>
      </text>
    </comment>
    <comment ref="G52" authorId="20" shapeId="0" xr:uid="{7D3408BD-9714-4D73-8F93-0403ECEBEDE5}">
      <text>
        <t>[Threaded comment]
Your version of Excel allows you to read this threaded comment; however, any edits to it will get removed if the file is opened in a newer version of Excel. Learn more: https://go.microsoft.com/fwlink/?linkid=870924
Comment:
    National workshops 500k
Regional workshop 160k
Engagement strategy vulnerable groups 50k</t>
      </text>
    </comment>
    <comment ref="H52" authorId="21" shapeId="0" xr:uid="{1166E1B1-03D1-46F6-9B58-B0E45DC192E9}">
      <text>
        <t>[Threaded comment]
Your version of Excel allows you to read this threaded comment; however, any edits to it will get removed if the file is opened in a newer version of Excel. Learn more: https://go.microsoft.com/fwlink/?linkid=870924
Comment:
    National workshops 500k
Regional workshop 160k</t>
      </text>
    </comment>
    <comment ref="I52" authorId="22" shapeId="0" xr:uid="{C12DC430-85B6-444C-9EB2-CB0D33416743}">
      <text>
        <t>[Threaded comment]
Your version of Excel allows you to read this threaded comment; however, any edits to it will get removed if the file is opened in a newer version of Excel. Learn more: https://go.microsoft.com/fwlink/?linkid=870924
Comment:
    National workshops 500k
Regional workshop 160k</t>
      </text>
    </comment>
    <comment ref="I54" authorId="23" shapeId="0" xr:uid="{25A247B7-6473-4563-A8F8-BF7B531C0F25}">
      <text>
        <t>[Threaded comment]
Your version of Excel allows you to read this threaded comment; however, any edits to it will get removed if the file is opened in a newer version of Excel. Learn more: https://go.microsoft.com/fwlink/?linkid=870924
Comment:
    combined
delivery of impact based message $3.93M
review of end user response $500k</t>
      </text>
    </comment>
    <comment ref="F56" authorId="24" shapeId="0" xr:uid="{8F22DDC8-C2DC-46F3-8FCE-BE771476DF63}">
      <text>
        <t>[Threaded comment]
Your version of Excel allows you to read this threaded comment; however, any edits to it will get removed if the file is opened in a newer version of Excel. Learn more: https://go.microsoft.com/fwlink/?linkid=870924
Comment:
    tools, channels? instead of approaches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tc={6CD9E983-9494-4CE8-A808-65B816084735}</author>
    <author>tc={355B4786-2D86-4FCE-B652-DE4D1F8BAC34}</author>
    <author>tc={4646DCF6-6DC7-4ADE-B81B-9CAC28212C06}</author>
    <author>tc={6337E798-7B61-409F-BBAE-F37FF4C81DDC}</author>
    <author>tc={6E03C776-0660-4A22-962A-297B8EE6512E}</author>
    <author>tc={CB700552-7C93-4C49-9886-08F54A882475}</author>
    <author>tc={703C6D8E-37EF-46EC-87CF-050446A728C6}</author>
    <author>tc={377A407A-0944-482B-B953-2D3851754E42}</author>
    <author>tc={3642D2AC-6BA5-4176-882B-D122938CC0ED}</author>
    <author>tc={D24197D1-CF9B-46B8-83DE-78221189628E}</author>
    <author>tc={8DD1337A-C42F-4A97-B7C4-D0FB691FE249}</author>
    <author>tc={5CB8B2A7-240F-4592-8A20-663A885C0B70}</author>
    <author>tc={DB47614E-8932-4210-B257-11B2525CFF90}</author>
    <author>tc={6669A189-5837-461B-B49B-364E9A96396A}</author>
    <author>tc={D8EFB01F-AB38-4AF9-A5C3-66FACDCEF576}</author>
    <author>tc={08584D40-898D-4165-9E10-9299C629B9E1}</author>
    <author>tc={C039A359-1841-40F0-A54B-0A436DB6AD60}</author>
    <author>tc={12396A00-4510-42CC-94C0-D46EBB5C278A}</author>
    <author>tc={C87F5DEA-815E-4D9E-B631-0317328EE7BD}</author>
    <author>tc={256EADE0-297A-4961-9179-5A6D829EE1A8}</author>
    <author>tc={D9A5E955-E468-480E-8C24-2B965776B82A}</author>
    <author>tc={462AAE0C-4AD5-48E6-B14B-A1573B314C92}</author>
    <author>tc={75234E43-0CB6-434D-A523-1FA596EE88DA}</author>
    <author>tc={9988A9B3-6948-4A7E-9261-274DF71F2722}</author>
    <author>tc={46C77544-AF8D-4636-9BEA-4C951FCE3C49}</author>
    <author>tc={5C6140CF-C041-4734-B4AD-B1BDD3EF1A3E}</author>
    <author>tc={907FBA9A-798E-4E60-9B70-3CE32CB5242F}</author>
    <author>tc={164F1019-83B4-4D12-BF13-FB5560EB124D}</author>
    <author>tc={F1DEB4C9-EB86-43DC-ADC8-E8FBCC16AD08}</author>
    <author>tc={D73F5B86-6732-43E2-B22F-25B61103F9A2}</author>
    <author>tc={A7D5B53C-F693-4E98-8DA8-00E44AED25AA}</author>
    <author>tc={CE0E889A-B7B4-4AF8-A253-6573A3D4F5BB}</author>
    <author>tc={0F4F4CA6-E55D-49A3-96F0-2F9D9CB59D5E}</author>
    <author>tc={1D546ADF-6E30-41BB-AAFD-1149FE6ECC62}</author>
    <author>Honsol Chan Tung</author>
    <author>tc={9691A961-5E94-4778-9204-1022700ACDB0}</author>
    <author>tc={2451D568-E7C4-4BD1-B022-180B9E5AD463}</author>
    <author>tc={8D86CCD7-E90D-455D-9160-311E3FCC80D9}</author>
    <author>tc={46014AF0-F89B-4176-9266-AE0C3FA1701F}</author>
    <author>tc={50D4FD10-6C4E-46C2-BE54-FC2D45E4B5CB}</author>
    <author>tc={0D4CB4F4-CA27-4C07-9594-24A00D014B6D}</author>
    <author>tc={940974D8-B3CF-4F0A-BE34-175B62BAA9C9}</author>
    <author>tc={E9A1B786-A288-48E6-91A1-9A0A3A52C19F}</author>
    <author>tc={7FC06066-2F08-4638-8897-A5A98A5DB607}</author>
  </authors>
  <commentList>
    <comment ref="AP1" authorId="0" shapeId="0" xr:uid="{6CD9E983-9494-4CE8-A808-65B816084735}">
      <text>
        <t>[Threaded comment]
Your version of Excel allows you to read this threaded comment; however, any edits to it will get removed if the file is opened in a newer version of Excel. Learn more: https://go.microsoft.com/fwlink/?linkid=870924
Comment:
    SPREP expenditure based on internal finance system (not executing agency spend)</t>
      </text>
    </comment>
    <comment ref="AQ1" authorId="1"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To be populated by WRP Finance Manager monthly, to a project level.</t>
      </text>
    </comment>
    <comment ref="AR1" authorId="2"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To be populated by WRP Finance Manager monthly, to a project level.</t>
      </text>
    </comment>
    <comment ref="AV1" authorId="3" shapeId="0" xr:uid="{6337E798-7B61-409F-BBAE-F37FF4C81DDC}">
      <text>
        <t>[Threaded comment]
Your version of Excel allows you to read this threaded comment; however, any edits to it will get removed if the file is opened in a newer version of Excel. Learn more: https://go.microsoft.com/fwlink/?linkid=870924
Comment:
    These are from the Sustainability, GESDI and ESS action plan</t>
      </text>
    </comment>
    <comment ref="AT2" authorId="4" shapeId="0" xr:uid="{6E03C776-0660-4A22-962A-297B8EE6512E}">
      <text>
        <t>[Threaded comment]
Your version of Excel allows you to read this threaded comment; however, any edits to it will get removed if the file is opened in a newer version of Excel. Learn more: https://go.microsoft.com/fwlink/?linkid=870924
Comment:
    All these numbers in red a dummy numbers for illustration purposes  only.</t>
      </text>
    </comment>
    <comment ref="AD3" authorId="5" shapeId="0" xr:uid="{CB700552-7C93-4C49-9886-08F54A882475}">
      <text>
        <t>[Threaded comment]
Your version of Excel allows you to read this threaded comment; however, any edits to it will get removed if the file is opened in a newer version of Excel. Learn more: https://go.microsoft.com/fwlink/?linkid=870924
Comment:
    Previous design cost. Old MFAT contrct
Reply:
    187,106 previous value in error</t>
      </text>
    </comment>
    <comment ref="AE3" authorId="6" shapeId="0" xr:uid="{703C6D8E-37EF-46EC-87CF-050446A728C6}">
      <text>
        <t>[Threaded comment]
Your version of Excel allows you to read this threaded comment; however, any edits to it will get removed if the file is opened in a newer version of Excel. Learn more: https://go.microsoft.com/fwlink/?linkid=870924
Comment:
    Includes previous design cost project
Reply:
    420,982 previous figure in error</t>
      </text>
    </comment>
    <comment ref="V4" authorId="7" shapeId="0" xr:uid="{377A407A-0944-482B-B953-2D3851754E42}">
      <text>
        <t>[Threaded comment]
Your version of Excel allows you to read this threaded comment; however, any edits to it will get removed if the file is opened in a newer version of Excel. Learn more: https://go.microsoft.com/fwlink/?linkid=870924
Comment:
    funds transferred from M&amp;E workshop to here.</t>
      </text>
    </comment>
    <comment ref="AE6" authorId="8"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
Reply:
    Sue 3 months contract extension to be covered by UK WISER</t>
      </text>
    </comment>
    <comment ref="AF6" authorId="9"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t>
      </text>
    </comment>
    <comment ref="AE8" authorId="10" shapeId="0" xr:uid="{00000000-0006-0000-0000-000006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t>
      </text>
    </comment>
    <comment ref="AF8" authorId="11"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t>
      </text>
    </comment>
    <comment ref="AE9" authorId="12"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 Includes the travel cost for the PMU resources</t>
      </text>
    </comment>
    <comment ref="AH12" authorId="13" shapeId="0" xr:uid="{6669A189-5837-461B-B49B-364E9A96396A}">
      <text>
        <t>[Threaded comment]
Your version of Excel allows you to read this threaded comment; however, any edits to it will get removed if the file is opened in a newer version of Excel. Learn more: https://go.microsoft.com/fwlink/?linkid=870924
Comment:
    Need 200k more to complete phase 2</t>
      </text>
    </comment>
    <comment ref="V13" authorId="14" shapeId="0" xr:uid="{00000000-0006-0000-0000-00000C000000}">
      <text>
        <t>[Threaded comment]
Your version of Excel allows you to read this threaded comment; however, any edits to it will get removed if the file is opened in a newer version of Excel. Learn more: https://go.microsoft.com/fwlink/?linkid=870924
Comment:
    Agreed at PSC that this will not go ahead in this way</t>
      </text>
    </comment>
    <comment ref="AE18" authorId="15" shapeId="0" xr:uid="{00000000-0006-0000-0000-00000B000000}">
      <text>
        <t>[Threaded comment]
Your version of Excel allows you to read this threaded comment; however, any edits to it will get removed if the file is opened in a newer version of Excel. Learn more: https://go.microsoft.com/fwlink/?linkid=870924
Comment:
    Unclear if budget is required or if NZMet can do this in their current funding envelop.</t>
      </text>
    </comment>
    <comment ref="X20" authorId="16" shapeId="0" xr:uid="{C039A359-1841-40F0-A54B-0A436DB6AD60}">
      <text>
        <t>[Threaded comment]
Your version of Excel allows you to read this threaded comment; however, any edits to it will get removed if the file is opened in a newer version of Excel. Learn more: https://go.microsoft.com/fwlink/?linkid=870924
Comment:
    In kind time from Kat</t>
      </text>
    </comment>
    <comment ref="AE20" authorId="17" shapeId="0" xr:uid="{12396A00-4510-42CC-94C0-D46EBB5C278A}">
      <text>
        <t>[Threaded comment]
Your version of Excel allows you to read this threaded comment; however, any edits to it will get removed if the file is opened in a newer version of Excel. Learn more: https://go.microsoft.com/fwlink/?linkid=870924
Comment:
    WRP MERL and Sustainability Framework Lead contract from 9 April 2025 with Completion Report submitted 29 December 2025 (i.e. 100% complete last year). Value USD 57,948 (if using a 0.58 conversion as the contract was in NZD). This included travel expenses from May last year. (From Kat)</t>
      </text>
    </comment>
    <comment ref="AF20" authorId="18" shapeId="0" xr:uid="{C87F5DEA-815E-4D9E-B631-0317328EE7BD}">
      <text>
        <t>[Threaded comment]
Your version of Excel allows you to read this threaded comment; however, any edits to it will get removed if the file is opened in a newer version of Excel. Learn more: https://go.microsoft.com/fwlink/?linkid=870924
Comment:
    WRP MERL Framework Implementation Support contract from 5 December 2025, with the Completion Report submitted 7 May 2026 (100% completed). Value USD 20,486 (if using a 0.58 conversion rate). Travel expenses for the planning day were not included in this contract as they were covered by ADB directly. Note - this did not include any sustainability work. (From Kat)</t>
      </text>
    </comment>
    <comment ref="AE35" authorId="19" shapeId="0" xr:uid="{256EADE0-297A-4961-9179-5A6D829EE1A8}">
      <text>
        <t>[Threaded comment]
Your version of Excel allows you to read this threaded comment; however, any edits to it will get removed if the file is opened in a newer version of Excel. Learn more: https://go.microsoft.com/fwlink/?linkid=870924
Comment:
    Actual spend</t>
      </text>
    </comment>
    <comment ref="AF39" authorId="20" shapeId="0" xr:uid="{D9A5E955-E468-480E-8C24-2B965776B82A}">
      <text>
        <t>[Threaded comment]
Your version of Excel allows you to read this threaded comment; however, any edits to it will get removed if the file is opened in a newer version of Excel. Learn more: https://go.microsoft.com/fwlink/?linkid=870924
Comment:
    moved 2028 to 2026 for PMC</t>
      </text>
    </comment>
    <comment ref="AE43" authorId="21" shapeId="0" xr:uid="{462AAE0C-4AD5-48E6-B14B-A1573B314C92}">
      <text>
        <t>[Threaded comment]
Your version of Excel allows you to read this threaded comment; however, any edits to it will get removed if the file is opened in a newer version of Excel. Learn more: https://go.microsoft.com/fwlink/?linkid=870924
Comment:
    removed budget as MFAT budget allocated for 2025, 2026, 2027</t>
      </text>
    </comment>
    <comment ref="AF43" authorId="22" shapeId="0" xr:uid="{75234E43-0CB6-434D-A523-1FA596EE88DA}">
      <text>
        <t>[Threaded comment]
Your version of Excel allows you to read this threaded comment; however, any edits to it will get removed if the file is opened in a newer version of Excel. Learn more: https://go.microsoft.com/fwlink/?linkid=870924
Comment:
    removed budget as MFAT budget allocated for 2025, 2026, 2027</t>
      </text>
    </comment>
    <comment ref="AG43" authorId="23" shapeId="0" xr:uid="{9988A9B3-6948-4A7E-9261-274DF71F2722}">
      <text>
        <t>[Threaded comment]
Your version of Excel allows you to read this threaded comment; however, any edits to it will get removed if the file is opened in a newer version of Excel. Learn more: https://go.microsoft.com/fwlink/?linkid=870924
Comment:
    removed budget as MFAT budget allocated for 2025, 2026, 2027</t>
      </text>
    </comment>
    <comment ref="H49" authorId="24" shapeId="0" xr:uid="{46C77544-AF8D-4636-9BEA-4C951FCE3C49}">
      <text>
        <t>[Threaded comment]
Your version of Excel allows you to read this threaded comment; however, any edits to it will get removed if the file is opened in a newer version of Excel. Learn more: https://go.microsoft.com/fwlink/?linkid=870924
Comment:
    removed task number as funding doesn't come through WRP, it's direct from MFAT to NZmet</t>
      </text>
    </comment>
    <comment ref="AE53" authorId="25" shapeId="0" xr:uid="{5C6140CF-C041-4734-B4AD-B1BDD3EF1A3E}">
      <text>
        <t>[Threaded comment]
Your version of Excel allows you to read this threaded comment; however, any edits to it will get removed if the file is opened in a newer version of Excel. Learn more: https://go.microsoft.com/fwlink/?linkid=870924
Comment:
    Add missing cost of accommodation, travel and stipend approx. USD65k</t>
      </text>
    </comment>
    <comment ref="AF54" authorId="26" shapeId="0" xr:uid="{907FBA9A-798E-4E60-9B70-3CE32CB5242F}">
      <text>
        <t>[Threaded comment]
Your version of Excel allows you to read this threaded comment; however, any edits to it will get removed if the file is opened in a newer version of Excel. Learn more: https://go.microsoft.com/fwlink/?linkid=870924
Comment:
    Previously budgeted AUD 150k, but updated for more accurate figures 4 ppl.</t>
      </text>
    </comment>
    <comment ref="AG54" authorId="27" shapeId="0" xr:uid="{164F1019-83B4-4D12-BF13-FB5560EB124D}">
      <text>
        <t>[Threaded comment]
Your version of Excel allows you to read this threaded comment; however, any edits to it will get removed if the file is opened in a newer version of Excel. Learn more: https://go.microsoft.com/fwlink/?linkid=870924
Comment:
    Previously budgeted AUD 150k, but updated for more accurate figures 4 ppl.</t>
      </text>
    </comment>
    <comment ref="AE55" authorId="28" shapeId="0" xr:uid="{F1DEB4C9-EB86-43DC-ADC8-E8FBCC16AD08}">
      <text>
        <t>[Threaded comment]
Your version of Excel allows you to read this threaded comment; however, any edits to it will get removed if the file is opened in a newer version of Excel. Learn more: https://go.microsoft.com/fwlink/?linkid=870924
Comment:
    Previously had AUD50k budgeted. Updated to reflect more accurate cost and proposing every 2 years.</t>
      </text>
    </comment>
    <comment ref="AG55" authorId="29" shapeId="0" xr:uid="{D73F5B86-6732-43E2-B22F-25B61103F9A2}">
      <text>
        <t>[Threaded comment]
Your version of Excel allows you to read this threaded comment; however, any edits to it will get removed if the file is opened in a newer version of Excel. Learn more: https://go.microsoft.com/fwlink/?linkid=870924
Comment:
    Previously had AUD50k budgeted. Updated to reflect more accurate cost and proposing every 2 years.</t>
      </text>
    </comment>
    <comment ref="AF58" authorId="30" shapeId="0" xr:uid="{A7D5B53C-F693-4E98-8DA8-00E44AED25AA}">
      <text>
        <t>[Threaded comment]
Your version of Excel allows you to read this threaded comment; however, any edits to it will get removed if the file is opened in a newer version of Excel. Learn more: https://go.microsoft.com/fwlink/?linkid=870924
Comment:
    Moved $100k out of the $300k to 1.3.1 sustainable financing facility.</t>
      </text>
    </comment>
    <comment ref="AF62" authorId="31" shapeId="0" xr:uid="{00000000-0006-0000-0000-00000F000000}">
      <text>
        <t>[Threaded comment]
Your version of Excel allows you to read this threaded comment; however, any edits to it will get removed if the file is opened in a newer version of Excel. Learn more: https://go.microsoft.com/fwlink/?linkid=870924
Comment:
    updated from latest concept note from SPC - AUD$20k</t>
      </text>
    </comment>
    <comment ref="AE63" authorId="32" shapeId="0" xr:uid="{00000000-0006-0000-0000-000010000000}">
      <text>
        <t>[Threaded comment]
Your version of Excel allows you to read this threaded comment; however, any edits to it will get removed if the file is opened in a newer version of Excel. Learn more: https://go.microsoft.com/fwlink/?linkid=870924
Comment:
    updated from latest concept note from SPC - AUD$1.2mill</t>
      </text>
    </comment>
    <comment ref="G65" authorId="33" shapeId="0" xr:uid="{1D546ADF-6E30-41BB-AAFD-1149FE6ECC62}">
      <text>
        <t>[Threaded comment]
Your version of Excel allows you to read this threaded comment; however, any edits to it will get removed if the file is opened in a newer version of Excel. Learn more: https://go.microsoft.com/fwlink/?linkid=870924
Comment:
    over-ridden default number for readiness fund</t>
      </text>
    </comment>
    <comment ref="AE71" authorId="34" shapeId="0" xr:uid="{00000000-0006-0000-0000-000011000000}">
      <text>
        <r>
          <rPr>
            <b/>
            <sz val="9"/>
            <color indexed="81"/>
            <rFont val="Tahoma"/>
            <family val="2"/>
          </rPr>
          <t>Honsol Chan Tung:</t>
        </r>
        <r>
          <rPr>
            <sz val="9"/>
            <color indexed="81"/>
            <rFont val="Tahoma"/>
            <family val="2"/>
          </rPr>
          <t xml:space="preserve">
Sue to utilize WISER GEDSI savings
</t>
        </r>
      </text>
    </comment>
    <comment ref="AE72" authorId="35" shapeId="0" xr:uid="{00000000-0006-0000-0000-000012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 However did not add 12% on this cost, so it’s under-budgeted if SPREP charges fees on top.</t>
      </text>
    </comment>
    <comment ref="AF72" authorId="36" shapeId="0" xr:uid="{00000000-0006-0000-0000-000013000000}">
      <text>
        <t>[Threaded comment]
Your version of Excel allows you to read this threaded comment; however, any edits to it will get removed if the file is opened in a newer version of Excel. Learn more: https://go.microsoft.com/fwlink/?linkid=870924
Comment:
    Based on budget estimate in wiser submission. However did not add 12% on this cost, so it’s under-budgeted if SPREP charges fees on top.</t>
      </text>
    </comment>
    <comment ref="AF77" authorId="37" shapeId="0" xr:uid="{8D86CCD7-E90D-455D-9160-311E3FCC80D9}">
      <text>
        <t>[Threaded comment]
Your version of Excel allows you to read this threaded comment; however, any edits to it will get removed if the file is opened in a newer version of Excel. Learn more: https://go.microsoft.com/fwlink/?linkid=870924
Comment:
    Budgeted - 23532/1.15 - deferred recruitment of forecasting advisor as focus on other KRAs</t>
      </text>
    </comment>
    <comment ref="AF88" authorId="38" shapeId="0" xr:uid="{46014AF0-F89B-4176-9266-AE0C3FA1701F}">
      <text>
        <t>[Threaded comment]
Your version of Excel allows you to read this threaded comment; however, any edits to it will get removed if the file is opened in a newer version of Excel. Learn more: https://go.microsoft.com/fwlink/?linkid=870924
Comment:
    Budgeted 62180/1.15- deferred recruitment of forecasting advisor as focus on other KRAs</t>
      </text>
    </comment>
    <comment ref="AF96" authorId="39" shapeId="0" xr:uid="{00000000-0006-0000-0000-000016000000}">
      <text>
        <t>[Threaded comment]
Your version of Excel allows you to read this threaded comment; however, any edits to it will get removed if the file is opened in a newer version of Excel. Learn more: https://go.microsoft.com/fwlink/?linkid=870924
Comment:
    updated to AUD150k, and removed from hydrology database</t>
      </text>
    </comment>
    <comment ref="AF102" authorId="40" shapeId="0" xr:uid="{0D4CB4F4-CA27-4C07-9594-24A00D014B6D}">
      <text>
        <t>[Threaded comment]
Your version of Excel allows you to read this threaded comment; however, any edits to it will get removed if the file is opened in a newer version of Excel. Learn more: https://go.microsoft.com/fwlink/?linkid=870924
Comment:
    Moved$100k from 3.1.1 asset management capability, plans and lifecycle cost to here.</t>
      </text>
    </comment>
    <comment ref="AJ106" authorId="41" shapeId="0" xr:uid="{00000000-0006-0000-0000-000017000000}">
      <text>
        <t>[Threaded comment]
Your version of Excel allows you to read this threaded comment; however, any edits to it will get removed if the file is opened in a newer version of Excel. Learn more: https://go.microsoft.com/fwlink/?linkid=870924
Comment:
    Kat recommended budgeting 135000 in 2030</t>
      </text>
    </comment>
    <comment ref="AM106" authorId="42"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Kat recommended budgeting 150000 in 2033</t>
      </text>
    </comment>
    <comment ref="AE114" authorId="43" shapeId="0" xr:uid="{7FC06066-2F08-4638-8897-A5A98A5DB607}">
      <text>
        <t>[Threaded comment]
Your version of Excel allows you to read this threaded comment; however, any edits to it will get removed if the file is opened in a newer version of Excel. Learn more: https://go.microsoft.com/fwlink/?linkid=870924
Comment:
    Reprioritsied budget from impact based forecasting to here.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tc={F36E8513-6AC0-426C-AD03-31EB4BD199C5}</author>
    <author>tc={C418275A-03A6-404B-9DDB-DA4B1763D22B}</author>
    <author>tc={26D8816C-9CB6-4361-B759-950719485AF9}</author>
    <author>tc={965491B5-F1F1-4D12-B29F-5E5D66B3AFEC}</author>
    <author>tc={F41B1953-D15D-48C5-84CA-18E1A4BB8BC6}</author>
    <author>tc={B6CBB9E3-C984-4FF0-8698-04DE40DC8623}</author>
    <author>tc={8BCEBDFB-9BCB-45D5-BD7C-523E8477BCF2}</author>
    <author>tc={B7AE2EC2-60EF-401E-A6C5-51C6D6667530}</author>
    <author>tc={08CB1CD8-BA8D-446D-8B9F-857E3A25757F}</author>
    <author>tc={0BE784BA-2138-415B-B528-53463BCC632C}</author>
    <author>tc={3DFE1EEF-A35D-4C8C-8FC4-F168E6082F89}</author>
    <author>tc={2B83A91C-53CB-4116-96BA-DBEF2C1760F9}</author>
    <author>tc={6B52A337-F1C6-4941-A739-D7A986A1FDED}</author>
    <author>tc={8F570C47-D5B7-4F85-BA8C-59CFFE19DCD6}</author>
    <author>tc={FCC3276D-BAE5-4022-85AF-A6CBC5C10A68}</author>
    <author>tc={D5CC33CF-0169-4595-A2F4-486AFD743241}</author>
    <author>tc={016DD774-4FD8-4D4D-A636-30DFD89C1A24}</author>
    <author>tc={698E1B3F-1BCC-4852-B196-570B2E00052E}</author>
    <author>tc={C216660A-02A3-4E35-A1DC-ABF09D86BA89}</author>
    <author>tc={5C814776-4436-4E96-87D2-7D5CF5396BEE}</author>
    <author>tc={071690C4-533B-438D-A132-93327BEDE3FD}</author>
    <author>tc={EED388C8-8A29-458F-98B4-1438AC45F1D4}</author>
    <author>tc={385478B4-2DCE-4E1A-8350-E883B3058563}</author>
    <author>tc={8FAD5457-0594-45F9-964B-5830D2AB81C3}</author>
    <author>tc={A01179D1-DDE5-4B40-A0E6-E49127452CBA}</author>
  </authors>
  <commentList>
    <comment ref="H14" authorId="0" shapeId="0" xr:uid="{00000000-0006-0000-0700-000003000000}">
      <text>
        <t>[Threaded comment]
Your version of Excel allows you to read this threaded comment; however, any edits to it will get removed if the file is opened in a newer version of Excel. Learn more: https://go.microsoft.com/fwlink/?linkid=870924
Comment:
    Added ICT infrastructure with cybersecurity from KRA4 $700k</t>
      </text>
    </comment>
    <comment ref="I14" authorId="1"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Added ICT infrastructure and cybersecurity and forecaster workstations $7.22M</t>
      </text>
    </comment>
    <comment ref="H16" authorId="2" shapeId="0" xr:uid="{00000000-0006-0000-0700-000005000000}">
      <text>
        <t>[Threaded comment]
Your version of Excel allows you to read this threaded comment; however, any edits to it will get removed if the file is opened in a newer version of Excel. Learn more: https://go.microsoft.com/fwlink/?linkid=870924
Comment:
    IFP - $100k
WIS - $200k
High accessibility ICT infrastructure with cybersecurity $700k from KRA4</t>
      </text>
    </comment>
    <comment ref="I16" authorId="3" shapeId="0" xr:uid="{00000000-0006-0000-0700-000006000000}">
      <text>
        <t>[Threaded comment]
Your version of Excel allows you to read this threaded comment; however, any edits to it will get removed if the file is opened in a newer version of Excel. Learn more: https://go.microsoft.com/fwlink/?linkid=870924
Comment:
    IFP $11M 
ICT infrastructure with cybersecurity, standalone forecaster work stations and technical workshops $7.22M transferred from KRA4</t>
      </text>
    </comment>
    <comment ref="G24" authorId="4" shapeId="0" xr:uid="{00000000-0006-0000-0700-000007000000}">
      <text>
        <t>[Threaded comment]
Your version of Excel allows you to read this threaded comment; however, any edits to it will get removed if the file is opened in a newer version of Excel. Learn more: https://go.microsoft.com/fwlink/?linkid=870924
Comment:
    Moved CAP training $100k to KRA2 people capability, so total reduced</t>
      </text>
    </comment>
    <comment ref="H24" authorId="5" shapeId="0" xr:uid="{00000000-0006-0000-0700-000008000000}">
      <text>
        <t>[Threaded comment]
Your version of Excel allows you to read this threaded comment; however, any edits to it will get removed if the file is opened in a newer version of Excel. Learn more: https://go.microsoft.com/fwlink/?linkid=870924
Comment:
    Moved CAP training $100k to KRA5, so total reduced by $100k</t>
      </text>
    </comment>
    <comment ref="I24" authorId="6" shapeId="0" xr:uid="{00000000-0006-0000-0700-000009000000}">
      <text>
        <t>[Threaded comment]
Your version of Excel allows you to read this threaded comment; however, any edits to it will get removed if the file is opened in a newer version of Excel. Learn more: https://go.microsoft.com/fwlink/?linkid=870924
Comment:
    Moved CAP training $200k to KRA5, so total reduced by $200k</t>
      </text>
    </comment>
    <comment ref="G26" authorId="7" shapeId="0" xr:uid="{00000000-0006-0000-0700-00000B000000}">
      <text>
        <t>[Threaded comment]
Your version of Excel allows you to read this threaded comment; however, any edits to it will get removed if the file is opened in a newer version of Excel. Learn more: https://go.microsoft.com/fwlink/?linkid=870924
Comment:
    National workshops 500k
Regional workshop 160k
Engagement strategy vulnerable groups 50k</t>
      </text>
    </comment>
    <comment ref="H26" authorId="8" shapeId="0" xr:uid="{00000000-0006-0000-0700-00000C000000}">
      <text>
        <t>[Threaded comment]
Your version of Excel allows you to read this threaded comment; however, any edits to it will get removed if the file is opened in a newer version of Excel. Learn more: https://go.microsoft.com/fwlink/?linkid=870924
Comment:
    National workshops 500k
Regional workshop 160k</t>
      </text>
    </comment>
    <comment ref="I26" authorId="9" shapeId="0" xr:uid="{00000000-0006-0000-0700-00000D000000}">
      <text>
        <t>[Threaded comment]
Your version of Excel allows you to read this threaded comment; however, any edits to it will get removed if the file is opened in a newer version of Excel. Learn more: https://go.microsoft.com/fwlink/?linkid=870924
Comment:
    National workshops 500k
Regional workshop 160k</t>
      </text>
    </comment>
    <comment ref="I28" authorId="10" shapeId="0" xr:uid="{00000000-0006-0000-0700-00000E000000}">
      <text>
        <t>[Threaded comment]
Your version of Excel allows you to read this threaded comment; however, any edits to it will get removed if the file is opened in a newer version of Excel. Learn more: https://go.microsoft.com/fwlink/?linkid=870924
Comment:
    combined
delivery of impact based message $3.93M
review of end user response $500k</t>
      </text>
    </comment>
    <comment ref="F30" authorId="11" shapeId="0" xr:uid="{00000000-0006-0000-0700-00000F000000}">
      <text>
        <t>[Threaded comment]
Your version of Excel allows you to read this threaded comment; however, any edits to it will get removed if the file is opened in a newer version of Excel. Learn more: https://go.microsoft.com/fwlink/?linkid=870924
Comment:
    tools, channels? instead of approaches</t>
      </text>
    </comment>
    <comment ref="H33" authorId="12" shapeId="0" xr:uid="{00000000-0006-0000-0700-000010000000}">
      <text>
        <t>[Threaded comment]
Your version of Excel allows you to read this threaded comment; however, any edits to it will get removed if the file is opened in a newer version of Excel. Learn more: https://go.microsoft.com/fwlink/?linkid=870924
Comment:
    Total reduced by
Moved ICT infrastructure with cybersecurity to KRA4 $700k</t>
      </text>
    </comment>
    <comment ref="I33" authorId="13" shapeId="0" xr:uid="{00000000-0006-0000-0700-000011000000}">
      <text>
        <t>[Threaded comment]
Your version of Excel allows you to read this threaded comment; however, any edits to it will get removed if the file is opened in a newer version of Excel. Learn more: https://go.microsoft.com/fwlink/?linkid=870924
Comment:
    Reduced by
ICT infrastructure, cybersecurity, forecaster workstations to KRA4 $7.22M</t>
      </text>
    </comment>
    <comment ref="G37" authorId="14" shapeId="0" xr:uid="{00000000-0006-0000-0700-000012000000}">
      <text>
        <t>[Threaded comment]
Your version of Excel allows you to read this threaded comment; however, any edits to it will get removed if the file is opened in a newer version of Excel. Learn more: https://go.microsoft.com/fwlink/?linkid=870924
Comment:
    $1M network plans
50k regional principles and standards</t>
      </text>
    </comment>
    <comment ref="H39" authorId="15" shapeId="0" xr:uid="{00000000-0006-0000-0700-000013000000}">
      <text>
        <t>[Threaded comment]
Your version of Excel allows you to read this threaded comment; however, any edits to it will get removed if the file is opened in a newer version of Excel. Learn more: https://go.microsoft.com/fwlink/?linkid=870924
Comment:
    cost of SPC staff only. 
Asset management and maintenance staff not budgeted originally.</t>
      </text>
    </comment>
    <comment ref="I39" authorId="16" shapeId="0" xr:uid="{00000000-0006-0000-0700-000014000000}">
      <text>
        <t>[Threaded comment]
Your version of Excel allows you to read this threaded comment; however, any edits to it will get removed if the file is opened in a newer version of Excel. Learn more: https://go.microsoft.com/fwlink/?linkid=870924
Comment:
    cost of SPC staff only. 
Asset management and maintenance staff not budgeted originally.</t>
      </text>
    </comment>
    <comment ref="I40" authorId="17" shapeId="0" xr:uid="{00000000-0006-0000-0700-000015000000}">
      <text>
        <t>[Threaded comment]
Your version of Excel allows you to read this threaded comment; however, any edits to it will get removed if the file is opened in a newer version of Excel. Learn more: https://go.microsoft.com/fwlink/?linkid=870924
Comment:
    Reduced by $1M and move to network plans above</t>
      </text>
    </comment>
    <comment ref="F43" authorId="18" shapeId="0" xr:uid="{00000000-0006-0000-0700-000016000000}">
      <text>
        <t>[Threaded comment]
Your version of Excel allows you to read this threaded comment; however, any edits to it will get removed if the file is opened in a newer version of Excel. Learn more: https://go.microsoft.com/fwlink/?linkid=870924
Comment:
    Check with SPC if they prefer this terminology of ocean monitoring rather than be specific to wave buoys, as there is a lot of technology options</t>
      </text>
    </comment>
    <comment ref="G47" authorId="19" shapeId="0" xr:uid="{00000000-0006-0000-0700-000017000000}">
      <text>
        <t>[Threaded comment]
Your version of Excel allows you to read this threaded comment; however, any edits to it will get removed if the file is opened in a newer version of Excel. Learn more: https://go.microsoft.com/fwlink/?linkid=870924
Comment:
    Increased $100k as CAP training moved from KRA3 to 5</t>
      </text>
    </comment>
    <comment ref="H47" authorId="20" shapeId="0" xr:uid="{00000000-0006-0000-0700-000018000000}">
      <text>
        <t>[Threaded comment]
Your version of Excel allows you to read this threaded comment; however, any edits to it will get removed if the file is opened in a newer version of Excel. Learn more: https://go.microsoft.com/fwlink/?linkid=870924
Comment:
    Total increased
CAP training $100k moved from KRA3 to KRA5</t>
      </text>
    </comment>
    <comment ref="I47" authorId="21" shapeId="0" xr:uid="{00000000-0006-0000-0700-000019000000}">
      <text>
        <t>[Threaded comment]
Your version of Excel allows you to read this threaded comment; however, any edits to it will get removed if the file is opened in a newer version of Excel. Learn more: https://go.microsoft.com/fwlink/?linkid=870924
Comment:
    Total increased by 
CAP training $200k from KRA2 to 5</t>
      </text>
    </comment>
    <comment ref="G55" authorId="22" shapeId="0" xr:uid="{00000000-0006-0000-0700-00001A000000}">
      <text>
        <t>[Threaded comment]
Your version of Excel allows you to read this threaded comment; however, any edits to it will get removed if the file is opened in a newer version of Excel. Learn more: https://go.microsoft.com/fwlink/?linkid=870924
Comment:
    Short term capacity development workshop $100k
CAP training - $100k moved from KRA3 to KRA5</t>
      </text>
    </comment>
    <comment ref="H55" authorId="23" shapeId="0" xr:uid="{00000000-0006-0000-0700-00001B000000}">
      <text>
        <t>[Threaded comment]
Your version of Excel allows you to read this threaded comment; however, any edits to it will get removed if the file is opened in a newer version of Excel. Learn more: https://go.microsoft.com/fwlink/?linkid=870924
Comment:
    CAP training - $100k moved from KRA3 to KRA5</t>
      </text>
    </comment>
    <comment ref="I55" authorId="24" shapeId="0" xr:uid="{00000000-0006-0000-0700-00001C000000}">
      <text>
        <t>[Threaded comment]
Your version of Excel allows you to read this threaded comment; however, any edits to it will get removed if the file is opened in a newer version of Excel. Learn more: https://go.microsoft.com/fwlink/?linkid=870924
Comment:
    CAP training - $200k moved from KRA3 to KRA5
Merged with QMS training 980k</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<sst xmlns="http://schemas.openxmlformats.org/spreadsheetml/2006/main" count="2953" uniqueCount="675">
  <si>
    <t>KRA</t>
  </si>
  <si>
    <t>Phase</t>
  </si>
  <si>
    <t>Activity No.</t>
  </si>
  <si>
    <t>Activity</t>
  </si>
  <si>
    <t>Inception USD 2024 - 2025</t>
  </si>
  <si>
    <t>Phase 1 USD 2024 - 2029</t>
  </si>
  <si>
    <t>Indicative Cost
USD '000
2024 - 2033</t>
  </si>
  <si>
    <t>Funds Raised</t>
  </si>
  <si>
    <t>Total Funding Raised USD</t>
  </si>
  <si>
    <t>Work Plan Funding USD '000
2024 - 2029</t>
  </si>
  <si>
    <t>2024 (Actual)</t>
  </si>
  <si>
    <t>2025 (Actual)</t>
  </si>
  <si>
    <t>COSPPac</t>
  </si>
  <si>
    <t>KRA 1 GOVERNANCE, MANAGEMENT AND COORDINATION</t>
  </si>
  <si>
    <t>Output 1.1 WRP governance, management and financing mechanisms established, mandated and equipped to coordinate a Pacific-led, integrated, and sustainable programme</t>
  </si>
  <si>
    <t>1.1.1</t>
  </si>
  <si>
    <t>Establish the PMU, Operational Processes and WRP pooled fund</t>
  </si>
  <si>
    <t>**ESS??</t>
  </si>
  <si>
    <t>1.1.2</t>
  </si>
  <si>
    <t>Operational Phase of PMU and coordination activities</t>
  </si>
  <si>
    <t>COSPPac - shared travel cost for meetings and coordination</t>
  </si>
  <si>
    <t>1.1.3</t>
  </si>
  <si>
    <t>MERL framework establishment and operationalisation</t>
  </si>
  <si>
    <t>incl above</t>
  </si>
  <si>
    <t>COSPPac - overlap in the MERL reporting and indicators, coordination efficiency for sustainability and broader alignment with other pacific and national reporting of the NMHSs</t>
  </si>
  <si>
    <t>1.1.4</t>
  </si>
  <si>
    <t>PMU Staff (Management and Delivery Support roles)</t>
  </si>
  <si>
    <t>COSPPac - shared resources in GEDSI, MERL, communications</t>
  </si>
  <si>
    <t>1.1.5</t>
  </si>
  <si>
    <t>NMHS Staff to expand capacity to support programme delivery</t>
  </si>
  <si>
    <t>new</t>
  </si>
  <si>
    <t>COSPPac - shared resources in GEDSI, overlap in stakeholder engagement, develoment of tools and frameworks for executing staff</t>
  </si>
  <si>
    <t>Output 1.2 Sustainable hydrometerological financing facility and resource mobilisation approach established and operational</t>
  </si>
  <si>
    <t>1.2.1</t>
  </si>
  <si>
    <t>Sustainable hydrometeorological financing investment facility</t>
  </si>
  <si>
    <t>Output 1.3 Transformative GEDSI strategy adopted and integrated across governance, management and partner programming</t>
  </si>
  <si>
    <t>1.3.1</t>
  </si>
  <si>
    <t>GEDSI and social safeguards mainstreamed into WRP</t>
  </si>
  <si>
    <t>1.3.2</t>
  </si>
  <si>
    <t>Cultivating a diverse and GEDSI responsive hydrometeorological service and warning institutions</t>
  </si>
  <si>
    <r>
      <t xml:space="preserve">KRA 2 PEOPLE CAPABILITY </t>
    </r>
    <r>
      <rPr>
        <b/>
        <i/>
        <sz val="13"/>
        <rFont val="Aptos Narrow"/>
        <family val="2"/>
      </rPr>
      <t>(previously KRA 5 Training and Capacity)</t>
    </r>
  </si>
  <si>
    <t>OP2.1 WMO-designated Pacific Regional Training Centre established and sustainably managed</t>
  </si>
  <si>
    <t>2.1.1</t>
  </si>
  <si>
    <t>Establish and operate a Regional Training Centre (RTC)</t>
  </si>
  <si>
    <t xml:space="preserve">COSPPac - training content to contribute (data mangement CLiDE, tide gauge maintenance, SPC ocean science, climate science) </t>
  </si>
  <si>
    <t>OP2.2 Inclusive leadership and technical capability strengthening programmes established and delivering ongoing training to industry standards</t>
  </si>
  <si>
    <t>2.2.1</t>
  </si>
  <si>
    <t>Training of forecasters to BIP-M standard</t>
  </si>
  <si>
    <t>2.2.2</t>
  </si>
  <si>
    <t>Training on specialised forecasting services, and assessment of competencies (e.g. marine, aviation, hydrology/ hydrography)</t>
  </si>
  <si>
    <t>2.2.3</t>
  </si>
  <si>
    <t>Training of observers, technicians and ICT specialists, and assessment of competencies</t>
  </si>
  <si>
    <t>2.2.4</t>
  </si>
  <si>
    <t>Establish and deliver a Pacific Meteorology Leadership Programme for mid and senior level staff</t>
  </si>
  <si>
    <t>2.2.5</t>
  </si>
  <si>
    <t>Specialised regional workshops and training courses</t>
  </si>
  <si>
    <t xml:space="preserve">COSPPac - partnership with SPC and SPREP in communication capacity development of NMHSs (forecast communication, climate drivers, social media, channels, talking points). Traditional knowledge training. </t>
  </si>
  <si>
    <t>2.2.6</t>
  </si>
  <si>
    <t>Provide additional staff for training and capacity development</t>
  </si>
  <si>
    <t xml:space="preserve">COSPPac - capacity development role contribute to PIETR panel and the RTC task team. </t>
  </si>
  <si>
    <t>OP2.3 Continuous learning and mentoring opportunities provided</t>
  </si>
  <si>
    <t>2.3.1</t>
  </si>
  <si>
    <t>Twinning programme, ongoing mentoring and communities of practices</t>
  </si>
  <si>
    <t xml:space="preserve">COSPPac - on the job training NMHSs and LSDs for tide gauge network (GNSS network). Trained to C1 for NMHSs and C2 for SPC technicians, based on Bureau competency framework. </t>
  </si>
  <si>
    <r>
      <t>KRA 3 OBSERVATION NETWORK INFRASTRUCTURE</t>
    </r>
    <r>
      <rPr>
        <b/>
        <i/>
        <sz val="13"/>
        <rFont val="Aptos Narrow"/>
        <family val="2"/>
      </rPr>
      <t xml:space="preserve"> (previously KRA 4)</t>
    </r>
  </si>
  <si>
    <t>Output 3.2 WMO-designated Pacific Regional Instrument Centre established and sustainably managed</t>
  </si>
  <si>
    <t>3.2.1</t>
  </si>
  <si>
    <t>Establish and operate a Regional Instrument Centre (RIC)</t>
  </si>
  <si>
    <t xml:space="preserve">COPPac - SPC barometers sent to fiji met. Sea level calibration is dependent on Bureau metrology lab. Jeff is trying to test if longer calibration time can be acceptable. Lots of import duties. </t>
  </si>
  <si>
    <t>Output 3.1 Interoperable, affordable and resilient observation network progressively remediated, expanded and sustained</t>
  </si>
  <si>
    <t>3.1.1</t>
  </si>
  <si>
    <t>Implement observation network plans, asset management, standardised infrastructure, data management and maintenance practices</t>
  </si>
  <si>
    <t>COSPPac - $120k asset managemen system for sea leve assets from asset miantenance perspective only. Metadata needs to be consistent in CLiDE. Contributed to PMC paper to identify priority stations for high quality surface network stations. Pacific sea level stations are captured in the Bureau asset mangaement plan for sea level. SPC may not have costs, as Bureau procurement. COSPPac will work with NIWA and WRP to standard maintenance regimes.</t>
  </si>
  <si>
    <t>Output 2. AWS and Manual Station Observation Network Sustainability Planning and Refurbishment (Network Plan)</t>
  </si>
  <si>
    <t>3.1.2</t>
  </si>
  <si>
    <t>Provide asset management and maintenance staff to expand capacity (e.g. SPREP, SPC, NMHS)</t>
  </si>
  <si>
    <r>
      <rPr>
        <sz val="11"/>
        <color rgb="FF000000"/>
        <rFont val="Aptos Narrow"/>
        <family val="2"/>
        <scheme val="minor"/>
      </rPr>
      <t xml:space="preserve">COSPPac - funding staff in BOM (2 FTE), SPC (2 FTE). SPC coordinates 6 monthly maintenance plan for the sea level. Bureau purchases directly any consumables for NMHSs  </t>
    </r>
    <r>
      <rPr>
        <sz val="11"/>
        <color rgb="FFFF0000"/>
        <rFont val="Aptos Narrow"/>
        <family val="2"/>
        <scheme val="minor"/>
      </rPr>
      <t xml:space="preserve">and Land survey departments </t>
    </r>
    <r>
      <rPr>
        <sz val="11"/>
        <color rgb="FF000000"/>
        <rFont val="Aptos Narrow"/>
        <family val="2"/>
        <scheme val="minor"/>
      </rPr>
      <t xml:space="preserve">for repairs and maintenance purposes (e.g. tools, safety equipment etc). </t>
    </r>
  </si>
  <si>
    <t>3.1.3</t>
  </si>
  <si>
    <t xml:space="preserve">Revitalise and expand automatic and manual weather stations </t>
  </si>
  <si>
    <t>3.1.4</t>
  </si>
  <si>
    <t>Revitalise and expand river gauges and rain gauges</t>
  </si>
  <si>
    <t xml:space="preserve">COSPPac - no river guages data stored in CLiDE, but rain is and in theory can ingest other rainfall data from other pacific agencies. </t>
  </si>
  <si>
    <t>3.1.5</t>
  </si>
  <si>
    <t>Establish weather watch radars</t>
  </si>
  <si>
    <t>COSPPac - no radar data stored in CLiDE</t>
  </si>
  <si>
    <t>3.1.6</t>
  </si>
  <si>
    <t>Revitalise and expand wave buoys</t>
  </si>
  <si>
    <t>COSPPac - no formal deliverables other than SPC technical resources funded</t>
  </si>
  <si>
    <t>3.1.7</t>
  </si>
  <si>
    <t>Revitalise and expand tide gauges</t>
  </si>
  <si>
    <t xml:space="preserve">COSPPac - 14 guages maintains, SPC planning to deploy 2 more. Tokelau tide gauges. </t>
  </si>
  <si>
    <t>3.1.8</t>
  </si>
  <si>
    <t>Revitalise and expand Meteorological balloon launching systems</t>
  </si>
  <si>
    <t>COSPPac - ability to store in CLiDE, but not done for a long time. There historical data in various places not archived in CLiDE. Unclear where the Fiji stores/archives and sends this data.</t>
  </si>
  <si>
    <t>3.1.9</t>
  </si>
  <si>
    <t>Data capture from aircraft observation using the aircraft meteorological data relay system</t>
  </si>
  <si>
    <t>COSPPac - no AMDAR data stored in CLiDE</t>
  </si>
  <si>
    <r>
      <t xml:space="preserve">KRA 4 FORECAST AND WARNING PRODUCTION </t>
    </r>
    <r>
      <rPr>
        <b/>
        <i/>
        <sz val="13"/>
        <rFont val="Aptos Narrow"/>
        <family val="2"/>
        <scheme val="minor"/>
      </rPr>
      <t>(previously KRA 2)</t>
    </r>
  </si>
  <si>
    <t>Output 4.1 An integrated Pacific forecasting platform established and operating sustainably to global standards</t>
  </si>
  <si>
    <t>4.1.1</t>
  </si>
  <si>
    <t>Develop an Integrated Forecasting Platform and strengthen RSMCs (incl WIS, CAP)</t>
  </si>
  <si>
    <t>**check where NZ met obs are coming from. 
COSPPac - CLiDE database to automatically transfer data to WIS2 (but only hourly obs). Maybe a small subset of AWS not feeding into CLiDE yet (e.g. aviation)</t>
  </si>
  <si>
    <t>OP4.2 Pacific forecasting capacity expanded and maintained</t>
  </si>
  <si>
    <t>4.2.1</t>
  </si>
  <si>
    <t>Strengthen aviation forecasting</t>
  </si>
  <si>
    <t>COSPPac- CLiDE have the ability to support METAR and SPECI. Some met services use it to enter manual data and produce the message automatically and provides first pass QC. This is beneficial before going into WIS2.</t>
  </si>
  <si>
    <t>4.2.2</t>
  </si>
  <si>
    <t>Strengthen public forecasting</t>
  </si>
  <si>
    <t>4.2.3</t>
  </si>
  <si>
    <t>Strengthen marine forecasting</t>
  </si>
  <si>
    <t xml:space="preserve">COSPPac - expanding fixed marine obs (ingesting ocean buoys and tide guages). Some tide gauge data but issues with ingesting near real-time currently and working to resolve with the tidal centre. </t>
  </si>
  <si>
    <t>4.2.4</t>
  </si>
  <si>
    <t>Strengthen coastal inundation forecasting</t>
  </si>
  <si>
    <t xml:space="preserve">COSPPac - SPC oceans portal has weather usages with 7 days forecast (based on bureau dataset), tide predictions from Bureau and calendar production and distribution. Conversations of potential transition to SPC on tide prediction and Andy Taylor. Tokelau 3 tide gauges. </t>
  </si>
  <si>
    <t>4.2.5</t>
  </si>
  <si>
    <t>Strengthen hydrological services and riverine flood forecasting</t>
  </si>
  <si>
    <t xml:space="preserve">COSPPac - rainfall data from NMHSs going into CLiDE and there is an API. It would be valuable to ingest historical data as data rescue activity. No ability to ingest water level station data. Need to think how to better safeguard CLiDE. </t>
  </si>
  <si>
    <t>4.2.6</t>
  </si>
  <si>
    <t>Provide additional ICT and other technical staff to expand capacity</t>
  </si>
  <si>
    <t>-</t>
  </si>
  <si>
    <t>COSPPac - funding SPREP IT staff (1FTE), SPC (1FTE), NIWA and Bureau to build ICT capability within NMHSs. There is also allocated additional funding for ICT services focussed on climate and ocean products and services (not directly met).</t>
  </si>
  <si>
    <r>
      <t xml:space="preserve">KRA 5 COMMUNICATION AND DELIVERY OF FORECASTS AND WARNINGS TO END USERS </t>
    </r>
    <r>
      <rPr>
        <b/>
        <i/>
        <sz val="13"/>
        <rFont val="Aptos Narrow"/>
        <family val="2"/>
      </rPr>
      <t>(previously KRA 3)</t>
    </r>
  </si>
  <si>
    <t>Output 5.1 Pacific capacity and collaborative approaches to deliver locally-relevant, impact-based, inclusive and accessible forecasts and warnings for end users strengthened and sustained</t>
  </si>
  <si>
    <t>5.1.1</t>
  </si>
  <si>
    <t>Planning for delivery of impact-based messages and warnings to end-users, considering persons with disabilities and vulnerable groups.</t>
  </si>
  <si>
    <t>COSPPac - climate time scale impact based forecasting for climate sensitive sectors. UNEP - additionally funding for 2 countries further focussed at national level (cook is, tuvalu)</t>
  </si>
  <si>
    <t>5.1.2</t>
  </si>
  <si>
    <t>Prepare impact-based, location specific warnings, based on assessments and modelling, and incorporating traditional knowledge</t>
  </si>
  <si>
    <t>COSPPac - collating traditional knowedge and data rescue mangement and a database and procedures in SPREP. Most of the data is weather TK. Funding SPREP TK advisor who runs workshops in country assisting the NMHSs to collect data. SPREP IT funded to maintain database (built by Bureau and transitioned)</t>
  </si>
  <si>
    <t>5.1.3</t>
  </si>
  <si>
    <t>Deliver and continuously review impact based messaging including translation into local languages</t>
  </si>
  <si>
    <t>COSPPac - support NMHSs for translation framework of climate bulletins into local languages where possible.</t>
  </si>
  <si>
    <t>5.1.4</t>
  </si>
  <si>
    <t>Inclusive Community Education and Information-Exchange collectives</t>
  </si>
  <si>
    <t>COSPPac - supports NCOF. Bureau, SPC, SPREP funded staff  is supporting NMHSs promote climate bulletins/products and services at a community level. COSPPac also actively developing that two-way network, referred to as knowledge brokering. Significant improvement needed in this space. Questions often arise from comunity on weather servies which can't be addressed by COSPPac. e.g. National climate outlook forum along side a National Weather outlook forum.</t>
  </si>
  <si>
    <t>5.1.5</t>
  </si>
  <si>
    <t xml:space="preserve">Develop innovative approaches for dissemination of forecasts and warnings to end-users (e.g. cell broadcasting, mobile apps, social media) </t>
  </si>
  <si>
    <t xml:space="preserve">COSPPac - supports NMHSs in communicating via social media, radio, and traditional media. SPC has a tide's app for the region with national level info and tide predictions at national level. It has sunrise, sunset etc. </t>
  </si>
  <si>
    <t>5.1.6</t>
  </si>
  <si>
    <t>Install communication internet access equipment and operational costs</t>
  </si>
  <si>
    <t>COSPPac - Flexi-fund is contributing to this with comms/starlink. Celine? Used to pay tuvalu internet services. Gap infrastructure to connect to government communication link, which may negate the need for ongoing satellite communication cost. (WRP could contribute??)</t>
  </si>
  <si>
    <t>5.1.7</t>
  </si>
  <si>
    <t>Provide additional staff for warning communication and engagement to expand capacity</t>
  </si>
  <si>
    <t xml:space="preserve">COSPPac - approx. 10 officers in NMHSs for science communications 2 years $1.2Mill and flexi-fund may also contribute. They develop communication plans and map stakeholders, to tailor and improve operatinoal products to community. Implement engagement activities with the community. These roles may be supporting weather information delivery. </t>
  </si>
  <si>
    <r>
      <rPr>
        <b/>
        <sz val="13"/>
        <rFont val="Aptos Narrow"/>
        <family val="2"/>
        <scheme val="minor"/>
      </rPr>
      <t xml:space="preserve">KRA6 RISK INFORMATION AND PREPAREDNESS </t>
    </r>
    <r>
      <rPr>
        <b/>
        <i/>
        <sz val="13"/>
        <rFont val="Aptos Narrow"/>
        <family val="2"/>
        <scheme val="minor"/>
      </rPr>
      <t>(new)</t>
    </r>
  </si>
  <si>
    <t>TBD</t>
  </si>
  <si>
    <t>OP6.1 Standardised, interoperable and inclusive multi-hazard data produced, stored and shared with resilience partners</t>
  </si>
  <si>
    <t>TBD by decadal investment plan to align with EW4All</t>
  </si>
  <si>
    <t>OP6.2 Roles and responsibilities established for coordinating, updating, and reviewing hazard inputs into risk knowledge products, preparedness and response plans and procedures</t>
  </si>
  <si>
    <t>CONTINGENCY AND OTHER</t>
  </si>
  <si>
    <t>Contingency and Other</t>
  </si>
  <si>
    <t>00</t>
  </si>
  <si>
    <t>GRAND TOTAL (excl. SPREP program fees)</t>
  </si>
  <si>
    <t>Output</t>
  </si>
  <si>
    <t>Activity Ref</t>
  </si>
  <si>
    <t>Project Title</t>
  </si>
  <si>
    <t>Task</t>
  </si>
  <si>
    <t xml:space="preserve">Concept No. </t>
  </si>
  <si>
    <t xml:space="preserve">Project No. </t>
  </si>
  <si>
    <t>Project Type</t>
  </si>
  <si>
    <t>Executing Agency</t>
  </si>
  <si>
    <r>
      <t xml:space="preserve">Pacific-led </t>
    </r>
    <r>
      <rPr>
        <sz val="11"/>
        <color theme="1"/>
        <rFont val="Aptos Narrow"/>
        <family val="2"/>
        <scheme val="minor"/>
      </rPr>
      <t>(ie. decisions made by the Pacific, for the Pacific)</t>
    </r>
    <r>
      <rPr>
        <b/>
        <sz val="11"/>
        <color theme="1"/>
        <rFont val="Aptos Narrow"/>
        <family val="2"/>
        <scheme val="minor"/>
      </rPr>
      <t xml:space="preserve"> institution (Yes/No)</t>
    </r>
  </si>
  <si>
    <t>Pacific institution type (regional, national, sub-national)</t>
  </si>
  <si>
    <t>PMU Lead</t>
  </si>
  <si>
    <t>Project Manager Executing Agency</t>
  </si>
  <si>
    <t>Procurement/ Recruitment</t>
  </si>
  <si>
    <t>Actions</t>
  </si>
  <si>
    <t>May 2026 DFAT spend</t>
  </si>
  <si>
    <t>Beneficiaries</t>
  </si>
  <si>
    <t>Funding Modality</t>
  </si>
  <si>
    <t>Total Allocated Funding USD</t>
  </si>
  <si>
    <t>Co-funder</t>
  </si>
  <si>
    <t>Co-Funding &amp; In-Kind USD</t>
  </si>
  <si>
    <t>Co-funding estimate basis</t>
  </si>
  <si>
    <t>WRP Funding Source</t>
  </si>
  <si>
    <t>WRP Funding Allocated USD</t>
  </si>
  <si>
    <t>2024 Budget</t>
  </si>
  <si>
    <t>2025 Budget</t>
  </si>
  <si>
    <t>2024</t>
  </si>
  <si>
    <t>2025</t>
  </si>
  <si>
    <t>2026 Budget</t>
  </si>
  <si>
    <t>2027 Budget</t>
  </si>
  <si>
    <t>2028 Budget</t>
  </si>
  <si>
    <t>2029 Budget</t>
  </si>
  <si>
    <t>2030 Budget</t>
  </si>
  <si>
    <t>2031 Budget</t>
  </si>
  <si>
    <t>2032 Budget</t>
  </si>
  <si>
    <t>2033 Budget</t>
  </si>
  <si>
    <t>2024 Actual</t>
  </si>
  <si>
    <t>Jan-June 2025 Actual</t>
  </si>
  <si>
    <t xml:space="preserve">2025 Actual </t>
  </si>
  <si>
    <t>Actual Spend USD</t>
  </si>
  <si>
    <t>Committed Spend USD</t>
  </si>
  <si>
    <t>% Spend WRP funding</t>
  </si>
  <si>
    <t>No. Risks (sig/severe)</t>
  </si>
  <si>
    <t>No. Adaptions / Changes</t>
  </si>
  <si>
    <t>Actions Identified (Y/N)</t>
  </si>
  <si>
    <t>No. Actions Identified</t>
  </si>
  <si>
    <t>No. Action Completed</t>
  </si>
  <si>
    <t>% Actions Completed</t>
  </si>
  <si>
    <t>Sustainability Actions % Implemented</t>
  </si>
  <si>
    <t>GEDSI Actions % Implemented</t>
  </si>
  <si>
    <t>ESS Actions % Implemented</t>
  </si>
  <si>
    <t>MERL Table Reported (Y/N)</t>
  </si>
  <si>
    <t>No. Pacific Assets Registered</t>
  </si>
  <si>
    <t>Progress</t>
  </si>
  <si>
    <t>Progress  Sep25</t>
  </si>
  <si>
    <t>% Progress</t>
  </si>
  <si>
    <t>% Progress Sep25</t>
  </si>
  <si>
    <t>Status</t>
  </si>
  <si>
    <t>Status Sep25</t>
  </si>
  <si>
    <t>Comment Jan25 (financial variance 2025)</t>
  </si>
  <si>
    <t>Comment Sep25</t>
  </si>
  <si>
    <t>NZ Met Services Technical support/ Governance/ Programme Management</t>
  </si>
  <si>
    <t>Major</t>
  </si>
  <si>
    <t>NZ Met Services</t>
  </si>
  <si>
    <t>All</t>
  </si>
  <si>
    <t>Other Support</t>
  </si>
  <si>
    <t>MFAT-NZ</t>
  </si>
  <si>
    <t>Y</t>
  </si>
  <si>
    <t>4 Implementation In Progress</t>
  </si>
  <si>
    <t>Green</t>
  </si>
  <si>
    <t>Effort less than forecasted</t>
  </si>
  <si>
    <t>ESNZ Project technical support, governance, reporting, adaptive management, communications</t>
  </si>
  <si>
    <t>Standard</t>
  </si>
  <si>
    <t>ESNZ</t>
  </si>
  <si>
    <t>Effort greater than forecasted</t>
  </si>
  <si>
    <t>Revised WRP Investment plan and implementation plan aligned with EW4ALL</t>
  </si>
  <si>
    <t>05</t>
  </si>
  <si>
    <t>WRP</t>
  </si>
  <si>
    <t>Ofa</t>
  </si>
  <si>
    <t>[1/8/25] Awaiting tender to close mid August</t>
  </si>
  <si>
    <t>Ring-Fenced</t>
  </si>
  <si>
    <t>MFAT- SPREP</t>
  </si>
  <si>
    <t>N</t>
  </si>
  <si>
    <t>3 Agreement</t>
  </si>
  <si>
    <t>Procurement deferred to 2026.</t>
  </si>
  <si>
    <t>Initial consultation and workshop on an integrated forecast platform and other workshops</t>
  </si>
  <si>
    <t>07</t>
  </si>
  <si>
    <t>Salesa</t>
  </si>
  <si>
    <t>UK WISER</t>
  </si>
  <si>
    <t>5 Completion Evaluation</t>
  </si>
  <si>
    <t>.</t>
  </si>
  <si>
    <t xml:space="preserve">Workshop held in Melbourne from 11-14 June. Closure Report submitted. </t>
  </si>
  <si>
    <t>Operational budget for mainstreaming GEDSI into WRP implementation</t>
  </si>
  <si>
    <t>01</t>
  </si>
  <si>
    <t>Delayed implementation. Budget tranferred to 2026.</t>
  </si>
  <si>
    <t>GEDSI strategy prepared and tabled for SC approval.</t>
  </si>
  <si>
    <t>DFAT</t>
  </si>
  <si>
    <t>Not Started</t>
  </si>
  <si>
    <t>Translation and printing of COPE books</t>
  </si>
  <si>
    <t>Terry</t>
  </si>
  <si>
    <t>[1/8/25] Get quotes from Tokelau and Niue for translation of COPE Booklets, for WRP to procure</t>
  </si>
  <si>
    <t>Tokelau, Niue</t>
  </si>
  <si>
    <t>Amber</t>
  </si>
  <si>
    <t>Deferred to 2026 after PMU staff recruited</t>
  </si>
  <si>
    <t xml:space="preserve">Progressing procurement. Delays against WISER project timeline. </t>
  </si>
  <si>
    <t>Installation and training in the common alerting protocol and Regional workshop</t>
  </si>
  <si>
    <t>[1/8/25] 'Ofa to chase WMO for cost for this workshop</t>
  </si>
  <si>
    <t>Training deferred to 2026.</t>
  </si>
  <si>
    <t>Peer review of IFP</t>
  </si>
  <si>
    <t>BOM, UK Met Office</t>
  </si>
  <si>
    <t xml:space="preserve">[1/8/25] Honsol to discuss with procurement whether to use LOA or standard contract with Bureau. Salesa to support discussions with SPREP legal on non-binding language. Concept Note finalised and work is progressing. </t>
  </si>
  <si>
    <t>Invoicing in 2026, though work completed in 2025.</t>
  </si>
  <si>
    <t>Progress as of Sep 2025 is report complete being tabled to steering committee.</t>
  </si>
  <si>
    <t>IFP Design and ICT Architecture</t>
  </si>
  <si>
    <t>08</t>
  </si>
  <si>
    <t>BOM, NZ MetServices</t>
  </si>
  <si>
    <t>[1/8/25] Paused until outcome of peer review in Sept.</t>
  </si>
  <si>
    <t>Deferred to 2026. Concept note and project team formation took time.</t>
  </si>
  <si>
    <t xml:space="preserve">Updated work plan cost based on IFP peer review estimates for architecture design, subject to SC approval. </t>
  </si>
  <si>
    <t>IFP Implementation and Roll Out - Progressively by country</t>
  </si>
  <si>
    <t>04</t>
  </si>
  <si>
    <t xml:space="preserve">Upated work plan cost based on IFP peer review estimates for Phase 1 and 2. Subject to SC approval. Need to look for co-funding for Phase 3. Most likely from the World bank and UNEP/UNDP SOFF related work on data exchange. </t>
  </si>
  <si>
    <t>Regional M&amp;E Workshop</t>
  </si>
  <si>
    <t>03</t>
  </si>
  <si>
    <t>Paused</t>
  </si>
  <si>
    <t>Funding reallocated to Investment Plan review budget, as there may not be a need for this workshop.</t>
  </si>
  <si>
    <t xml:space="preserve">Secondment of ICT Specialist to progress IFP, KRA 2 and 3. </t>
  </si>
  <si>
    <t>09</t>
  </si>
  <si>
    <t>BOM</t>
  </si>
  <si>
    <t>[1/8/25] Paused until outcome of peer review in Sept. If proceed will need LOA with BOM</t>
  </si>
  <si>
    <t>Invoicing in 2026, specialist engaged in 2025.</t>
  </si>
  <si>
    <t>Awaiting SC direction.</t>
  </si>
  <si>
    <t>PMU Travel and Workshops</t>
  </si>
  <si>
    <t>02</t>
  </si>
  <si>
    <t>Honsol</t>
  </si>
  <si>
    <t>Branding and advertising</t>
  </si>
  <si>
    <t>Delayed recruitment of Communication Officer. Funds deferred to 2026 and 2027.</t>
  </si>
  <si>
    <t>Hosting of WRP Steering and Liaison Platform</t>
  </si>
  <si>
    <t>Upper Air network plan</t>
  </si>
  <si>
    <t>06</t>
  </si>
  <si>
    <t>Marica</t>
  </si>
  <si>
    <t>[1/8/25] 'Ofa to confirm with NZ will they be developing this</t>
  </si>
  <si>
    <t xml:space="preserve">Need to identify which organisation will do this work. </t>
  </si>
  <si>
    <t>Asset Management Information System Implementation (software &amp; training)</t>
  </si>
  <si>
    <t>[1/8/25] Tender specifications from BoM needs to be reviewed. Need to discuss if BoM does procurement or SPREP?</t>
  </si>
  <si>
    <t>1 Concept</t>
  </si>
  <si>
    <t xml:space="preserve">Concept Note drafted and provided to World Bank to TA for this work. In discussion with COSPPac to collaborate with their procurement of an asset management system which is in their work scope also. </t>
  </si>
  <si>
    <t>MERL and Sustainability Framework</t>
  </si>
  <si>
    <t>MFAT - MERL</t>
  </si>
  <si>
    <t>Progress as of Sep 2025 is framework complete being tabled to steering committee.</t>
  </si>
  <si>
    <t>Staff start up cost (IT, furniture) and communicating &amp; promotion</t>
  </si>
  <si>
    <t>Actual cost higher than budgeted.</t>
  </si>
  <si>
    <t>Samoa Radar</t>
  </si>
  <si>
    <t>WRP, BOM, NZMetServices</t>
  </si>
  <si>
    <t>[1/8/25] 'Ofa's chase NZMet for Concept Note and cost to Project Manage Radar and for copy of Solomon specfications to review.
[13/8/25] Start routing process for NZ Met, need to provide Why go direct. Need concept note and cost. Due 16 Sept for Sept 30 Procurement meeting.
Awaiting Pacific Radar Strategy managed by NZMFAT or an asset policy that requires standardise supply of radars. Planning to tender and establish radar preferred supplier list.</t>
  </si>
  <si>
    <t>Samoa</t>
  </si>
  <si>
    <t>Preparing EOI procurement to be released to establish ongoing preferred supplier contracts. Progress as of Sep 2025 is EOI released.</t>
  </si>
  <si>
    <t>PNG Radar</t>
  </si>
  <si>
    <t>External</t>
  </si>
  <si>
    <t>PNG</t>
  </si>
  <si>
    <t xml:space="preserve">Site selection in progress. DFAT Port Morsby in principle supportive of regional standardised procurement approach through Samoa radar. </t>
  </si>
  <si>
    <t>5 Atolls Radars</t>
  </si>
  <si>
    <t>UNEP/ICAO</t>
  </si>
  <si>
    <t>UNEP</t>
  </si>
  <si>
    <t>FSM Radar</t>
  </si>
  <si>
    <t>FSM</t>
  </si>
  <si>
    <t>Kiribati Radar</t>
  </si>
  <si>
    <t>Kiribati</t>
  </si>
  <si>
    <t>Regional workshop to advance discussions for the establishment of the Regional Training Centre</t>
  </si>
  <si>
    <t>Actual cost lower than forecasted</t>
  </si>
  <si>
    <t xml:space="preserve">Workshop took place 14-18 July 2025 in Suva with key stakeholders and specialists invited. Minutes and outcomes still to be shared. </t>
  </si>
  <si>
    <t>Meteorologists Training in 2025</t>
  </si>
  <si>
    <t>Kiribati, Tonga</t>
  </si>
  <si>
    <t>Remaining cost flowing over to 2026.</t>
  </si>
  <si>
    <t>Review of WRP governance and alignment with EW4All</t>
  </si>
  <si>
    <t>ADB</t>
  </si>
  <si>
    <t xml:space="preserve">Alignment review report completed and endorsed by steering committee. WRP governance review options paper being drafted for PMC to approve changes including to membership. </t>
  </si>
  <si>
    <t>Training of FMS Staff to support ISO/IEC 17025 certification of RIC</t>
  </si>
  <si>
    <t xml:space="preserve">[1/8/25] Awaiting quotes from Fiji Met Service for SPREP to procure. </t>
  </si>
  <si>
    <t>Fiji</t>
  </si>
  <si>
    <t>Fiji Met is sourcing quotes for training</t>
  </si>
  <si>
    <t xml:space="preserve">Liaison with regional institutions for the development of a Leadership Program for mid-level to senior staff level and deliver the course </t>
  </si>
  <si>
    <t>BIP MT Training</t>
  </si>
  <si>
    <t>Is this for 2026 or 2027?</t>
  </si>
  <si>
    <t>Training in Fiji in progress for BIP-MT</t>
  </si>
  <si>
    <t>ISO 9001 / QMS Training delivered at Fiji Met in partnership with Fiji National University</t>
  </si>
  <si>
    <t xml:space="preserve">Ofa is this work completed? </t>
  </si>
  <si>
    <t>HydroMet Technician Training and Peer Network</t>
  </si>
  <si>
    <t>Commencement delayed.</t>
  </si>
  <si>
    <t>AWS and Manual Stations Observing Network Sustainability Planning and Refurbishment (part 1 - plans)</t>
  </si>
  <si>
    <t>AWS and Manual Stations Observing Network Sustainability Planning and Refurbishment (part 2 - refurbishment)</t>
  </si>
  <si>
    <t>Radar Network Plan/Strategy</t>
  </si>
  <si>
    <t>Delayed commencement</t>
  </si>
  <si>
    <t xml:space="preserve">Progress as of Sep 2025, consultations completed and preliminary recommnedations report prepared for SC. Full report still to be developed. </t>
  </si>
  <si>
    <t>DFAT Inception</t>
  </si>
  <si>
    <t>Tonga Radar</t>
  </si>
  <si>
    <t>Tonga</t>
  </si>
  <si>
    <t>Cost incurred earlier than forecasted. Budget brought forward.</t>
  </si>
  <si>
    <t>Quality issues with radar being rectified and managed currently. We are in maintenance and support phase over next 2 years.</t>
  </si>
  <si>
    <t>Workshops funded by UK</t>
  </si>
  <si>
    <t>Solomon Islands Radar</t>
  </si>
  <si>
    <t>Solomon Island</t>
  </si>
  <si>
    <t xml:space="preserve"> </t>
  </si>
  <si>
    <t xml:space="preserve">Construction and operationalisation of Regional Instrumentation Centre </t>
  </si>
  <si>
    <t>JICA</t>
  </si>
  <si>
    <t xml:space="preserve">Construction and operationalisation of Regional Training Centre </t>
  </si>
  <si>
    <t>Guidance Document for Standardisation and Maintenance of Meteorological Equipment</t>
  </si>
  <si>
    <t>Draft TOC for consultation</t>
  </si>
  <si>
    <t>Aviation industry workshop</t>
  </si>
  <si>
    <t>Governance framework for RTC and RIC</t>
  </si>
  <si>
    <t>Proress as of Sep 2025, options report completed and to be tabled at SC.</t>
  </si>
  <si>
    <t>Severe Weather Pilot (3 countries) - strengthen public forecasting</t>
  </si>
  <si>
    <t>Fiji, Tonga, Niue</t>
  </si>
  <si>
    <t>Draft completion report prepared</t>
  </si>
  <si>
    <t>Severe Weather Pilot (3 countries) - twinning and community of practice</t>
  </si>
  <si>
    <t>Strengthen public weather forecasting practices, community of practice and twinning</t>
  </si>
  <si>
    <t>Recommendation from IFP peer review, continue to strengthen public weather forecasting capabilities and community of practice as sucessfully demonstrated in severe weather forecasting pilot project.</t>
  </si>
  <si>
    <t>Technical partners Integrated Forecast System Workshop</t>
  </si>
  <si>
    <t>Meteorologists Training in 2024</t>
  </si>
  <si>
    <t>Actual cost greater than forecasted.</t>
  </si>
  <si>
    <t>Additional invoice to be issued by Bureau to be paid</t>
  </si>
  <si>
    <t>Meteorologists Training</t>
  </si>
  <si>
    <t>[1/8/25] Concept note and contract with BoM needed</t>
  </si>
  <si>
    <t xml:space="preserve">Vanautu (1) and Fiji (2) candidate. Potentially 1 candidate more from Fiji. </t>
  </si>
  <si>
    <t>Hydrologists Training</t>
  </si>
  <si>
    <t>PAGASA</t>
  </si>
  <si>
    <t xml:space="preserve">[1/8/25] 'Ofa chasing PAGASA/WMO for course costs and details to finalise procurement. </t>
  </si>
  <si>
    <t>Deferred to 2026. Limited hydrology training available.</t>
  </si>
  <si>
    <t>PAGASA/WMO to confirm course content, costs and timing. WRP organising student travel and accom.</t>
  </si>
  <si>
    <t xml:space="preserve">Development of bridging and/or support for BIP-M in collaboration with RTC, USP and PIETR. </t>
  </si>
  <si>
    <t>WRP, BOM</t>
  </si>
  <si>
    <t>on hold til after 14-19 July workshop</t>
  </si>
  <si>
    <t xml:space="preserve">Training Workshop in Suva scheduled 14-18 July. PEITR panel task team for RTC established. This activity and budget can be assigned to them for implementation. </t>
  </si>
  <si>
    <t>Staff: Asset Manager</t>
  </si>
  <si>
    <t>Staff</t>
  </si>
  <si>
    <t xml:space="preserve">JD drafted. Paused while finalising recruitment of Infrastructure and ICT adviser and World Bank TA availability, to inform the exact need for this role and timing. </t>
  </si>
  <si>
    <t>Establish pacific Asset Management Capability, Plans and Lifecycle Cost Forecast</t>
  </si>
  <si>
    <t>awaiting world bank</t>
  </si>
  <si>
    <t>Concept Note drafted. World Bank briefed also as a possible alternative funder for TA/consultant.</t>
  </si>
  <si>
    <t>COSPPac Data management, products and services</t>
  </si>
  <si>
    <t>DFAT/MFAT</t>
  </si>
  <si>
    <t>??</t>
  </si>
  <si>
    <t>Tokelau Data Collection and Inundation Forecasting</t>
  </si>
  <si>
    <t>Tokelau</t>
  </si>
  <si>
    <t>Major work delayed to 2026 due to logistics.</t>
  </si>
  <si>
    <t xml:space="preserve">Secondment of Forecasting Specialist to progress IFP, KRA 2 and 3. </t>
  </si>
  <si>
    <t>[1/8/25] 'Ofa to confirm if plan to change WISER grant to fund this secondment</t>
  </si>
  <si>
    <t>Develop Lidar strategy for the Pacific</t>
  </si>
  <si>
    <t>SPC</t>
  </si>
  <si>
    <t>[1/8/25] Concept Note missing. Honsol finalising SPC LOA with procurement. Need 'Ofa to review</t>
  </si>
  <si>
    <t>Work started in 2025 and to be completed in 2026.</t>
  </si>
  <si>
    <t>Contract/LOA in finalisation</t>
  </si>
  <si>
    <t>Complete Lidar surveys for the Marshall Islands</t>
  </si>
  <si>
    <t>Marshall Islands</t>
  </si>
  <si>
    <t xml:space="preserve">Contract/LOA in finalisation. SPC targeting procurement in Q3 and work completion in Q4/Q1. </t>
  </si>
  <si>
    <t>Plan for roll out of satellite communication, capacity development with the community, with units for selected countries</t>
  </si>
  <si>
    <t>Tonga, Solomon Islands, Kiribati</t>
  </si>
  <si>
    <t xml:space="preserve">[1/8/25] 'Ofa chase starlink quotes from Solomon island, for SPREP to procure. Jess &amp; Sue meeting with Jope on ESS screening on 8/8/25. Need meeting on sustainability screening with Kat, in order to finalise concept notes from Tonga and Kiribati. </t>
  </si>
  <si>
    <t>Agreement/procurement deferred to 2026. Concept drafted in 2025.</t>
  </si>
  <si>
    <t xml:space="preserve">Tonga and Solomon Islands have submitted Concept Notes to WRP for approval. Kiribitis still to develop. LOA being prepared. </t>
  </si>
  <si>
    <t>MHEWS Readiness Fund (flexi-fund)</t>
  </si>
  <si>
    <t>NMHS</t>
  </si>
  <si>
    <t xml:space="preserve">[1/8/25] 'Ofa to send to directors MHEWS Readiness Fund information pack, so we can receive their concept note proposals for review. </t>
  </si>
  <si>
    <t>Most beneficiary countries did not submit concepts/request in 2025. Budget reallocated.</t>
  </si>
  <si>
    <t xml:space="preserve">Flexible fund procedure developed for SC approval. One concept received from Vanautu. Risk of not spending funding allocated. </t>
  </si>
  <si>
    <t>Staff: Programme Manager</t>
  </si>
  <si>
    <t>Known over-estimate in salary cost.</t>
  </si>
  <si>
    <t>Staff: Technical Adviser Infrastructure &amp; ICT</t>
  </si>
  <si>
    <t>Recruitment close to finalisation</t>
  </si>
  <si>
    <t>Staff: Finance Accountant</t>
  </si>
  <si>
    <t>Role recruited, in June 2025.</t>
  </si>
  <si>
    <t>Staff: Finance &amp; Administration Officer</t>
  </si>
  <si>
    <t xml:space="preserve">Role recruited, in Sept 2024. </t>
  </si>
  <si>
    <t>GEDSI and Social Safeguard Specialist</t>
  </si>
  <si>
    <t>UNDRR</t>
  </si>
  <si>
    <t>GEDSI Advisor Sue contracted by UNDRR.</t>
  </si>
  <si>
    <t>Staff: ESS/GEDSI Officer</t>
  </si>
  <si>
    <t>[1/8/25] Honsol awaiting procurement to extend Sue's contract. Pomate to obtain copy of standard SPREP Job description needed for new Officer</t>
  </si>
  <si>
    <t>Recruitment deferred to 2026.</t>
  </si>
  <si>
    <t xml:space="preserve">JD drafted. Recruitment delayed. </t>
  </si>
  <si>
    <t xml:space="preserve">Staff: Support to WRP PMU Human Resource
</t>
  </si>
  <si>
    <t>[1/8/25] 'Ofa to shortlist and interview</t>
  </si>
  <si>
    <t>Recruitment delayed</t>
  </si>
  <si>
    <t xml:space="preserve">Advertisement closed. Recruitment delayed. </t>
  </si>
  <si>
    <t xml:space="preserve">Staff: Technical Adviser Capability Training
</t>
  </si>
  <si>
    <t>Staff:  Technical Adviser Forecasting</t>
  </si>
  <si>
    <t>[1/8/25] 'Ofa to draft job description</t>
  </si>
  <si>
    <t xml:space="preserve">Postpone recruitment and focus efforts on other KRAs with existing committed funding. </t>
  </si>
  <si>
    <t>Staff: Procurement and Contracts Officer</t>
  </si>
  <si>
    <t>[1/8/25] 'Ofa to interview</t>
  </si>
  <si>
    <t>2 Appraisal</t>
  </si>
  <si>
    <t xml:space="preserve">Staff: Communications and Knowledge Management Officer </t>
  </si>
  <si>
    <t>[1/8/25] Awaiting job ad to close 15 August</t>
  </si>
  <si>
    <t>National consultation workshops with selected countries to review existing messages and warnings</t>
  </si>
  <si>
    <t>Staff: Monitoring , Evaluation, Research , Learning and Adaptation Officer (MERLA)</t>
  </si>
  <si>
    <t>[1/8/25] Pomate to obtain copy of standard SPREP Job description needed for new Officer</t>
  </si>
  <si>
    <t>JD drafted. Recruitment delayed.</t>
  </si>
  <si>
    <t>Staff: Resource Mobilisation Officer</t>
  </si>
  <si>
    <t>[25/8/25] Engage consultant or TA instead to develop strategy and support implementation</t>
  </si>
  <si>
    <t>Decision to prioritise development of resource mobilisation strategy and paused recruitment (budget allocation removed for now)</t>
  </si>
  <si>
    <t>Staff: WRP Secretariat and PMC Technical Support Officer</t>
  </si>
  <si>
    <t>Recruitment delayed.</t>
  </si>
  <si>
    <t>Staff: ICT Officer</t>
  </si>
  <si>
    <t>Staff: Finance Investment Advisor</t>
  </si>
  <si>
    <t>Communication Strategy and Action Plan</t>
  </si>
  <si>
    <t>Ange</t>
  </si>
  <si>
    <t>Awaiting Communication Officer to be onboard. Expected in Q4 2025.</t>
  </si>
  <si>
    <t>Resource Mobilisation Strategy</t>
  </si>
  <si>
    <t>[1/8/25] Ofa to confirm if world bank can fund the development</t>
  </si>
  <si>
    <t xml:space="preserve">Decision to prioritise development of resource mobilisation strategy to be excuted by Ofa, Sal and Salome. The need for a resource mobilisation officer to be reviewed (paused for now and removed from budgeting). World bank confirmed funding TA to develop strategy as aligns well with the Investment facility and asset management activity. </t>
  </si>
  <si>
    <t>Environmental and Social Safeguard Framework</t>
  </si>
  <si>
    <t>[1/8/25] Jess &amp; Sue to meet with Jope 8/8/25 to confirm if procurement needed for ESS framework to be developed for WRP</t>
  </si>
  <si>
    <t xml:space="preserve">SPREP ESS team to undertake initial programme screening per SPREP process and develop WRP operations manual chapter. </t>
  </si>
  <si>
    <t>Pooled fund - Legal and financial framework around the WRP Investment Facility</t>
  </si>
  <si>
    <t>Honsol to confirm if this is pooled fund consultant?</t>
  </si>
  <si>
    <t>Consultant commenced in 2025 and work will be completed in 2026.</t>
  </si>
  <si>
    <t xml:space="preserve">UK consultant "MDY" engaged and completed options report for SPREP and SC. </t>
  </si>
  <si>
    <r>
      <rPr>
        <sz val="11"/>
        <color rgb="FF000000"/>
        <rFont val="Aptos Narrow"/>
        <family val="2"/>
        <scheme val="minor"/>
      </rPr>
      <t xml:space="preserve">Staff start up cost (IT, furniture) and communicating &amp; promotion </t>
    </r>
    <r>
      <rPr>
        <strike/>
        <sz val="11"/>
        <color rgb="FF000000"/>
        <rFont val="Aptos Narrow"/>
        <family val="2"/>
        <scheme val="minor"/>
      </rPr>
      <t>Office space and operational costs</t>
    </r>
  </si>
  <si>
    <t>Regional workshop with NDMOs, NMHS, EW4All to review existing messaging and develop plan for preparation and delivery of response-based messaging and warnings to end users</t>
  </si>
  <si>
    <t>Ocean and tides network plan</t>
  </si>
  <si>
    <t xml:space="preserve">[1/8/15] To discuss with this can be added to SPC LOA scope. </t>
  </si>
  <si>
    <t>Deferred to 2027</t>
  </si>
  <si>
    <t>Flood and hydrology network plan</t>
  </si>
  <si>
    <t>Deferred to 2027, after hydrology stategy is devloped in 2026.</t>
  </si>
  <si>
    <t>ICT Network plan</t>
  </si>
  <si>
    <t>Geohazard Network Plan</t>
  </si>
  <si>
    <t>Partnership for Aviation Component 1 - Provision of infrastructure for aviation weather observations</t>
  </si>
  <si>
    <t>Partnership for Aviation Component 2 - Training for aviation weather forecasters, observers, and technicians</t>
  </si>
  <si>
    <t>Development of a regional strategy for hydrology</t>
  </si>
  <si>
    <t xml:space="preserve">[Jess: 1/8/25] Honsol finalising LOA. Need 'Ofa to review. </t>
  </si>
  <si>
    <t>SPC, 
WMO CREWS 3.0, Australian Water Partnership, 
Global Environment Facility/Food and Agriculture Organisation</t>
  </si>
  <si>
    <t xml:space="preserve">Concept Note developed. Cotract/LOA being established. </t>
  </si>
  <si>
    <t>Twinning Arrangement Solomon Islands</t>
  </si>
  <si>
    <t>Solomon Islands</t>
  </si>
  <si>
    <t>Twinning Arrangement PNG</t>
  </si>
  <si>
    <t>COSPPac Observations infrastructure and data support</t>
  </si>
  <si>
    <t>Hydrological database transition support</t>
  </si>
  <si>
    <t>SPC, 
WMO CREWS 3.0</t>
  </si>
  <si>
    <t>Cancelled</t>
  </si>
  <si>
    <t xml:space="preserve">SPC requested project removed from WRP and re-allocate funding re-allocated to hydrology strategy. </t>
  </si>
  <si>
    <t>COSPPac Communications with and between key stakeholders and diverse communities</t>
  </si>
  <si>
    <t>Sustainable financing and resource mobilisation options</t>
  </si>
  <si>
    <t>Hiring ICT staff for Pacific Island Country NMHSs</t>
  </si>
  <si>
    <t>Cook Islands, Fiji, Niue, Samoa, Solomon Islands, Tonga, Tuvalu</t>
  </si>
  <si>
    <t>[1/8/25] Missing cost from solomon islands. Honsol preparing LOAs for countries</t>
  </si>
  <si>
    <t>Recruitment delays by beneficiary countries.</t>
  </si>
  <si>
    <t>Concept note drafted. Increased budget required baesd on confirmed local salary costs. Awaiting SC approval of increase before proceeding with contracting/LOA.</t>
  </si>
  <si>
    <t>SOFF infrastructure upgrade</t>
  </si>
  <si>
    <t>SOFF</t>
  </si>
  <si>
    <t>paused? delay?</t>
  </si>
  <si>
    <t>Cost brought forward from 2026 to 2025</t>
  </si>
  <si>
    <t>MERL Programmatic evaluations</t>
  </si>
  <si>
    <t>MERL Research</t>
  </si>
  <si>
    <t>Staff: SPC resource to coordinate oceans infrastructure and asset management</t>
  </si>
  <si>
    <t>GSMA cell broadcasting workshop and training</t>
  </si>
  <si>
    <t>Cook Island, Solomon Islands, Kiribati</t>
  </si>
  <si>
    <t>Ten representatives from the Cook Island, Solomon and Kiribati National Meteorological Services and the National Disaster Managers attended Global System for Mobile (GSM) Association (GSMA)-Pacific Islands Telecommunications Associations (PITA) Workshop on leveraging Cell-Broadcasting for Disaster Preparedness, Response and Recovery. 28-1 Aug</t>
  </si>
  <si>
    <t xml:space="preserve">COSPPac - MERL framework, indicators and reporting has overlap and synergies with WRP. COSPPac outputs results in overall efficiency in for WRP and NMHS reporting. </t>
  </si>
  <si>
    <t>COSPPac - shared travel cost for regional meetings and coordination</t>
  </si>
  <si>
    <t>Business model review for RTC and RIC</t>
  </si>
  <si>
    <t>[1/8/25] Iinvestigate if extension of pooled fund consultant possible to do this work or World Bank</t>
  </si>
  <si>
    <t>Activity deferred to 2026, as awaiting FMS governance outcomes.</t>
  </si>
  <si>
    <t xml:space="preserve">Identifying suitable consultant to undertake this work. </t>
  </si>
  <si>
    <t>AI-ML Weather Models</t>
  </si>
  <si>
    <t>BoM</t>
  </si>
  <si>
    <t>Labour effort in-kind 6 months</t>
  </si>
  <si>
    <t>Bureau of Meteorology Technical input to WRP - PMU</t>
  </si>
  <si>
    <t>Labour effort &amp; travel funded for 3 years at present</t>
  </si>
  <si>
    <t>PIETR panel Training and capacity development roadmap development and implementation</t>
  </si>
  <si>
    <t xml:space="preserve">Identified activity from PIETR panel RTC task team. Awaiting ToR finalisation and recruitment of WRP Training and Capacity Development advisor to progress. </t>
  </si>
  <si>
    <t>Radio system implementation for early warning dissemination</t>
  </si>
  <si>
    <t>GESDI responsive NMHS buidings and operations</t>
  </si>
  <si>
    <t>Wave Buoys</t>
  </si>
  <si>
    <t>NMHS Project Delivery and MERL Staff</t>
  </si>
  <si>
    <t>Quality management systems and Part 174 compliance uplift</t>
  </si>
  <si>
    <t>Cell Broadcasting Strategy Implementation</t>
  </si>
  <si>
    <t>Work Plan - Projects</t>
  </si>
  <si>
    <t>(Multiple Items)</t>
  </si>
  <si>
    <t>Do not change project type filter</t>
  </si>
  <si>
    <t>Funding insufficient based on current projections to 2029</t>
  </si>
  <si>
    <t>Note: costs exclude 15% SPREP program fees</t>
  </si>
  <si>
    <t>USD - priority funding gaps</t>
  </si>
  <si>
    <t>Year</t>
  </si>
  <si>
    <t>2024 Actual_</t>
  </si>
  <si>
    <t>2025 Actual_</t>
  </si>
  <si>
    <t>2026 Budget_</t>
  </si>
  <si>
    <t>2027 Budget_</t>
  </si>
  <si>
    <t>2028 Budget_</t>
  </si>
  <si>
    <t>2029 Budget_</t>
  </si>
  <si>
    <t>Total WRP Funding Allocated USD_</t>
  </si>
  <si>
    <t>(outside of currently implementaiton plan) greening and sustaining the met services infrastructure and operations</t>
  </si>
  <si>
    <t>Hosting of WRP Steering Group and Liaison Platform</t>
  </si>
  <si>
    <t>Staff start up cost (IT, furniture) and communicating &amp; promotion Office space and operational costs</t>
  </si>
  <si>
    <t>MERL and Sustainability Frameworks</t>
  </si>
  <si>
    <t>Operational budget for mainstreaming GEDSI into WRP implementation2</t>
  </si>
  <si>
    <t>(blank)</t>
  </si>
  <si>
    <t>implementation of roadmap</t>
  </si>
  <si>
    <t>competency training at Fiji</t>
  </si>
  <si>
    <t>incl new oceans infrastrucure (wave buoys and tide gauge)</t>
  </si>
  <si>
    <t>or another priority country</t>
  </si>
  <si>
    <t>RIC and maintenance centre support and warehousing and workshop facilities at regional and national level</t>
  </si>
  <si>
    <t>Sector specific work - subject to conversations with DFAT BOM Partnership for Aviation project scope on certification of the NMHSs, additional funding for marine, tourism, energy sector engagement and warnings for both safety and economic prosperity as part of KRA5</t>
  </si>
  <si>
    <t>additional ICT capability to support the region</t>
  </si>
  <si>
    <t>including bringing in specialists to support work</t>
  </si>
  <si>
    <t>#N/A</t>
  </si>
  <si>
    <t>Sub Total</t>
  </si>
  <si>
    <r>
      <t>Adaptations</t>
    </r>
    <r>
      <rPr>
        <sz val="16"/>
        <color theme="1"/>
        <rFont val="Aptos Narrow"/>
        <family val="2"/>
        <scheme val="minor"/>
      </rPr>
      <t xml:space="preserve"> </t>
    </r>
    <r>
      <rPr>
        <b/>
        <sz val="16"/>
        <color theme="1"/>
        <rFont val="Aptos Narrow"/>
        <family val="2"/>
        <scheme val="minor"/>
      </rPr>
      <t>and Change</t>
    </r>
    <r>
      <rPr>
        <sz val="16"/>
        <color theme="1"/>
        <rFont val="Aptos Narrow"/>
        <family val="2"/>
        <scheme val="minor"/>
      </rPr>
      <t xml:space="preserve"> </t>
    </r>
    <r>
      <rPr>
        <b/>
        <sz val="16"/>
        <color theme="1"/>
        <rFont val="Aptos Narrow"/>
        <family val="2"/>
        <scheme val="minor"/>
      </rPr>
      <t>Register</t>
    </r>
  </si>
  <si>
    <t>Adaptations - is when one goes beyond a receiver of knowledge and skills to be willing to apply and share (ie. transform and adapt)</t>
  </si>
  <si>
    <t>Changes and adaptations across WRP will be sourced from: lessons learned, reflection sessions (PMU and executing agency led (See 10.1 MERL Plan)); executing agencies reports; WRP implementation plan and work plan)</t>
  </si>
  <si>
    <t>Strategic adaptations/changes across WRP to the changing environment, context and sector are to be approved by the Steering Committee. 
Managerial adaptations/changes across WRP are to be approved by the WRP PMU. 
Operational adaptations/changes can be approved by either WRP PMU or the executing agency, depending on the change.</t>
  </si>
  <si>
    <t>Please allocate one change # per adaptation/change</t>
  </si>
  <si>
    <t xml:space="preserve">Change No. </t>
  </si>
  <si>
    <t xml:space="preserve">Activity No. </t>
  </si>
  <si>
    <t>Activity Name</t>
  </si>
  <si>
    <t>Work Plan Funding 
New (USD '000)</t>
  </si>
  <si>
    <t>Work Plan Funding 
Previous (USD '000)</t>
  </si>
  <si>
    <r>
      <rPr>
        <b/>
        <sz val="11"/>
        <color rgb="FF000000"/>
        <rFont val="Aptos Narrow"/>
        <family val="2"/>
        <scheme val="minor"/>
      </rPr>
      <t xml:space="preserve">Proposed Adaptation/ Changes
</t>
    </r>
    <r>
      <rPr>
        <sz val="11"/>
        <color rgb="FF000000"/>
        <rFont val="Aptos Narrow"/>
        <family val="2"/>
        <scheme val="minor"/>
      </rPr>
      <t>(detail the proposed adaptation/change required, including what, how, who and when to achieve a more successful outcome)</t>
    </r>
  </si>
  <si>
    <t>Approved by</t>
  </si>
  <si>
    <t>Date Approved</t>
  </si>
  <si>
    <t>Date Completed</t>
  </si>
  <si>
    <r>
      <rPr>
        <b/>
        <sz val="11"/>
        <color rgb="FF000000"/>
        <rFont val="Aptos Narrow"/>
        <family val="2"/>
        <scheme val="minor"/>
      </rPr>
      <t xml:space="preserve">Type </t>
    </r>
    <r>
      <rPr>
        <sz val="11"/>
        <color rgb="FF000000"/>
        <rFont val="Aptos Narrow"/>
        <family val="2"/>
        <scheme val="minor"/>
      </rPr>
      <t>(Strategic; Managerial; Operational)</t>
    </r>
  </si>
  <si>
    <t>Priority</t>
  </si>
  <si>
    <t>Responsible</t>
  </si>
  <si>
    <r>
      <rPr>
        <b/>
        <sz val="11"/>
        <color rgb="FF000000"/>
        <rFont val="Aptos Narrow"/>
        <family val="2"/>
        <scheme val="minor"/>
      </rPr>
      <t xml:space="preserve">Adaptation Review 
</t>
    </r>
    <r>
      <rPr>
        <sz val="11"/>
        <color rgb="FF000000"/>
        <rFont val="Aptos Narrow"/>
        <family val="2"/>
        <scheme val="minor"/>
      </rPr>
      <t>(6-12 months after adaptation completion, Senior MERLA Officer to review and collect impact data)</t>
    </r>
  </si>
  <si>
    <t>Impact of Adaptation</t>
  </si>
  <si>
    <t>EXPAND FOR CHANGES FROM SEP 2025.</t>
  </si>
  <si>
    <t>no change</t>
  </si>
  <si>
    <r>
      <rPr>
        <sz val="11"/>
        <color rgb="FF000000"/>
        <rFont val="Aptos Narrow"/>
        <family val="2"/>
        <scheme val="minor"/>
      </rPr>
      <t xml:space="preserve">Simplified activity title from </t>
    </r>
    <r>
      <rPr>
        <i/>
        <sz val="11"/>
        <color rgb="FF000000"/>
        <rFont val="Aptos Narrow"/>
        <family val="2"/>
        <scheme val="minor"/>
      </rPr>
      <t>"Preparatory start-up work in 2024 to prepare: i. “Programme of Work” for the WRP to include revision of 2021 Decadal Programme of Investment document; ii. Implementation plan (V2) and a full risk matrix; iii. legal agreement with SPREP to host the WRP and a legal and financial framework for the WRP pooled investment fund; iv. strategy for environmental and social safeguards for the WRP (including GEDSI); and v. interim project coordination while core PMU staff are recruited."</t>
    </r>
  </si>
  <si>
    <t>SC</t>
  </si>
  <si>
    <t>26/9/25</t>
  </si>
  <si>
    <t>PMU</t>
  </si>
  <si>
    <r>
      <rPr>
        <sz val="11"/>
        <color rgb="FF000000"/>
        <rFont val="Aptos Narrow"/>
        <family val="2"/>
        <scheme val="minor"/>
      </rPr>
      <t>Re-titled activity from "</t>
    </r>
    <r>
      <rPr>
        <i/>
        <sz val="11"/>
        <color rgb="FF000000"/>
        <rFont val="Aptos Narrow"/>
        <family val="2"/>
        <scheme val="minor"/>
      </rPr>
      <t>Support for PMU, travel for PMU, consultations with NMHS, PMC Panels, Liaison Committee and partners, communication activities, WRP annual steering committee meetings and support for attendance at PMC Biennial Meetings"</t>
    </r>
    <r>
      <rPr>
        <sz val="11"/>
        <color rgb="FF000000"/>
        <rFont val="Aptos Narrow"/>
        <family val="2"/>
        <scheme val="minor"/>
      </rPr>
      <t xml:space="preserve">. Budget reduced and re-phased. Reallocation of funds to MERL 1.1.3 activities. Insufficient budget allocation in future years 2028 and 2029, which will need to draw on contingency or new funding. </t>
    </r>
  </si>
  <si>
    <t xml:space="preserve">New activity and cost, gap in previous implementation plan. </t>
  </si>
  <si>
    <t>New activity, separated to improve oversight of PMU staff costs. Reduced budget as a result of delayed recruitment of several roles and planned deferral of recruitment of Resource Mobilsation Officer and ICT Officer as a budget management initiative.</t>
  </si>
  <si>
    <t>New activity, gap in previous implementation plan</t>
  </si>
  <si>
    <t>New activity, introduced through approved Roadmap for sustainable financing and asset management</t>
  </si>
  <si>
    <t>New activity, separated to improve oversight of these activities. Budgeted work plan previously approved from UK WISER and UNDRR TA.</t>
  </si>
  <si>
    <t>New activity, introduced through GESDI strategy (pending SC approval)</t>
  </si>
  <si>
    <t xml:space="preserve">Previously approved budget was only for 2025/26. Extended budgeted work plan out to 2028 for implementation of IFP based on Peer Review report recommendations phase 1 and 2 (US$2.425M), and to also start exploring AI ML opportunities. There is currently insufficient budget for Phase 3 and would need to look for co-funding opportunities. Previous IFP melbourne workshop funded by UK WISER is also allocated to this activity. </t>
  </si>
  <si>
    <r>
      <rPr>
        <sz val="11"/>
        <color rgb="FF000000"/>
        <rFont val="Aptos Narrow"/>
        <family val="2"/>
        <scheme val="minor"/>
      </rPr>
      <t xml:space="preserve">Re-titled activity from </t>
    </r>
    <r>
      <rPr>
        <i/>
        <sz val="11"/>
        <color rgb="FF000000"/>
        <rFont val="Aptos Narrow"/>
        <family val="2"/>
        <scheme val="minor"/>
      </rPr>
      <t xml:space="preserve">"Strengthen aviation forecasting in aerodrome meteorological offices and meteorological watch offices, as designated in relevant International Civil Aviation Organisation regional air navigation plans."  </t>
    </r>
    <r>
      <rPr>
        <sz val="11"/>
        <color rgb="FF000000"/>
        <rFont val="Aptos Narrow"/>
        <family val="2"/>
        <scheme val="minor"/>
      </rPr>
      <t xml:space="preserve">Budgeted work plan added to convene a regional aviation stakeholders workshop to improve coordination and discuss shared challenges. </t>
    </r>
  </si>
  <si>
    <r>
      <rPr>
        <sz val="11"/>
        <color theme="1"/>
        <rFont val="Aptos Narrow"/>
        <family val="2"/>
        <scheme val="minor"/>
      </rPr>
      <t>Retitled activity from "</t>
    </r>
    <r>
      <rPr>
        <i/>
        <sz val="11"/>
        <color theme="1"/>
        <rFont val="Aptos Narrow"/>
        <family val="2"/>
        <scheme val="minor"/>
      </rPr>
      <t>Strengthen NMHS public forecasting and marine forecasting (recognising that marine forecasts are targeted at specific stakeholders) and establish two-way WMO information system (WIS) allowing NMHS to share their information world wide.</t>
    </r>
    <r>
      <rPr>
        <sz val="11"/>
        <color theme="1"/>
        <rFont val="Aptos Narrow"/>
        <family val="2"/>
        <scheme val="minor"/>
      </rPr>
      <t>" NZ Severe Weather Forecasting Pilot project is contributes to this activity.</t>
    </r>
  </si>
  <si>
    <t>New activity , previously combined with 4.2.2 public forecasting</t>
  </si>
  <si>
    <r>
      <rPr>
        <sz val="11"/>
        <color rgb="FF000000"/>
        <rFont val="Aptos Narrow"/>
        <family val="2"/>
        <scheme val="minor"/>
      </rPr>
      <t xml:space="preserve">Re-titled activity from </t>
    </r>
    <r>
      <rPr>
        <i/>
        <sz val="11"/>
        <color rgb="FF000000"/>
        <rFont val="Aptos Narrow"/>
        <family val="2"/>
        <scheme val="minor"/>
      </rPr>
      <t>"Implementation of coastal inundation forecasting in 5 countries including riverine flood forecasting"</t>
    </r>
    <r>
      <rPr>
        <sz val="11"/>
        <color rgb="FF000000"/>
        <rFont val="Aptos Narrow"/>
        <family val="2"/>
        <scheme val="minor"/>
      </rPr>
      <t>. Previously approved Lidar strategy, Marshall Island lidar survey and Tokelau coastal inundation forecasting projects is allocated to this activity.</t>
    </r>
  </si>
  <si>
    <t>New activity, previously combined with 4.2.4 coastal inundation forecasting</t>
  </si>
  <si>
    <r>
      <rPr>
        <sz val="11"/>
        <color rgb="FF000000"/>
        <rFont val="Aptos Narrow"/>
        <family val="2"/>
        <scheme val="minor"/>
      </rPr>
      <t>Moved under new KRA. Re-titled activity from "</t>
    </r>
    <r>
      <rPr>
        <i/>
        <sz val="11"/>
        <color rgb="FF000000"/>
        <rFont val="Aptos Narrow"/>
        <family val="2"/>
        <scheme val="minor"/>
      </rPr>
      <t>Provision of additional ICT staff in each of the 14 NMHS not aligned with USA National Weather Services or Meteo France, and 2 additional ICT staff in Fiji"</t>
    </r>
    <r>
      <rPr>
        <sz val="11"/>
        <color rgb="FF000000"/>
        <rFont val="Aptos Narrow"/>
        <family val="2"/>
        <scheme val="minor"/>
      </rPr>
      <t>. Increased 2025 budget from USD124k (AUD200k) to USD170k based on improved country salary estimates. Extended budgeted work plan out to 2029.</t>
    </r>
  </si>
  <si>
    <r>
      <rPr>
        <sz val="11"/>
        <color rgb="FF000000"/>
        <rFont val="Aptos Narrow"/>
        <family val="2"/>
        <scheme val="minor"/>
      </rPr>
      <t>Simplified activity title from "</t>
    </r>
    <r>
      <rPr>
        <i/>
        <sz val="11"/>
        <color rgb="FF000000"/>
        <rFont val="Aptos Narrow"/>
        <family val="2"/>
        <scheme val="minor"/>
      </rPr>
      <t>Development of a detailed plan and costs for development and delivery of response based messages and warnings to end-users based on: (1) National Workshops with NMHS, NDMO, vulnerable groups and socio-economic sectors to review existing messages and warnings to end-users; and (2) Regional workshop with NDMOs, NMHS, EW4All"</t>
    </r>
    <r>
      <rPr>
        <sz val="11"/>
        <color rgb="FF000000"/>
        <rFont val="Aptos Narrow"/>
        <family val="2"/>
        <scheme val="minor"/>
      </rPr>
      <t xml:space="preserve">. </t>
    </r>
  </si>
  <si>
    <r>
      <rPr>
        <sz val="11"/>
        <color rgb="FF000000"/>
        <rFont val="Aptos Narrow"/>
        <family val="2"/>
        <scheme val="minor"/>
      </rPr>
      <t xml:space="preserve">Simplified activity title from </t>
    </r>
    <r>
      <rPr>
        <i/>
        <sz val="11"/>
        <color rgb="FF000000"/>
        <rFont val="Aptos Narrow"/>
        <family val="2"/>
        <scheme val="minor"/>
      </rPr>
      <t>"Preparation of impact-based, location specific warnings, based on assessments and modelling, and incorporating traditional knowledge and GEDSI considerations especially for the most vulnerable groups such as persons with disabilities, children in collaboration with EW4All (pillar 3) partners."</t>
    </r>
  </si>
  <si>
    <t xml:space="preserve">Re-titled activity from "Delivery of the impact-based messaging, translation into local languages, community engagement, mobile apps, public awareness activities including those end users with no internet. </t>
  </si>
  <si>
    <t>New activity, previously combined with 5.1.3. This provides greater visibility of community engagement and aligns with GESDI strategy. Budgeted work plan currently related to COPE book translation.</t>
  </si>
  <si>
    <t xml:space="preserve">New activity, previously combined with 5.1.3. Budget provided to unplanned NMHS attendance of the GSMA Cell Broadcasting workshop. </t>
  </si>
  <si>
    <r>
      <rPr>
        <sz val="11"/>
        <color rgb="FF000000"/>
        <rFont val="Aptos Narrow"/>
        <family val="2"/>
        <scheme val="minor"/>
      </rPr>
      <t>Re-titled activity from "</t>
    </r>
    <r>
      <rPr>
        <i/>
        <sz val="11"/>
        <color rgb="FF000000"/>
        <rFont val="Aptos Narrow"/>
        <family val="2"/>
        <scheme val="minor"/>
      </rPr>
      <t>Installation of internet access equipment and operational costs of selected NMHSs and NDMO e.g. starlink</t>
    </r>
    <r>
      <rPr>
        <sz val="11"/>
        <color rgb="FF000000"/>
        <rFont val="Aptos Narrow"/>
        <family val="2"/>
        <scheme val="minor"/>
      </rPr>
      <t>"</t>
    </r>
  </si>
  <si>
    <t xml:space="preserve">New activity to improve visibility of investment into expanding staff capacity in the pacific. This budgeted work plan is currently for WRP Forecasting and Communications Advisor. The role was originally planned to be recruited in 2026. It is now deferred until 2029 unless additional funding becomes available to enable focus on KRA 5 and impact based forecasting. </t>
  </si>
  <si>
    <t xml:space="preserve">Re-phasing of planned expenditure from 2025 to 2026. </t>
  </si>
  <si>
    <r>
      <t>Re-titled activity from "</t>
    </r>
    <r>
      <rPr>
        <i/>
        <sz val="11"/>
        <color rgb="FF000000"/>
        <rFont val="Aptos Narrow"/>
        <family val="2"/>
        <scheme val="minor"/>
      </rPr>
      <t>Preparation of national observations network plans for country automatic weather stations; and revitalisations, upgrade and expansion of existing network of automatic weather stations in collaboration with the Systematic Observations Financing Facility</t>
    </r>
    <r>
      <rPr>
        <sz val="11"/>
        <color rgb="FF000000"/>
        <rFont val="Aptos Narrow"/>
        <family val="2"/>
        <scheme val="minor"/>
      </rPr>
      <t xml:space="preserve">". Activity has been broadened to cover all observation networks and incorporates development of regionally defined standards for all technologies (not just AWS) and implementation of the approved Sustainable Financing and Asset Management Roadmap. Extended budgeted work plan out to 2029 as a result. Previously approved only for 2025/26 was USD217k (AUD300k). Approved NZ Met Services and Earth Science project on equipment standards, radar strategy and AWS network plan has been allocated under this activity. </t>
    </r>
  </si>
  <si>
    <t>New activity to improve visbility of investment into expanding staff capacity in the pacific. Delayed recruitment of WRP Infrastructure and ICT Advisor has reduced budgeted work plan costs. New Asset Manager role added to staff plan and work plan, as part of the asset management roadmap implementation.</t>
  </si>
  <si>
    <t>New activity, previously combined with 3.1.1</t>
  </si>
  <si>
    <r>
      <rPr>
        <sz val="11"/>
        <color rgb="FF000000"/>
        <rFont val="Aptos Narrow"/>
        <family val="2"/>
        <scheme val="minor"/>
      </rPr>
      <t xml:space="preserve">Simplified activity title from </t>
    </r>
    <r>
      <rPr>
        <i/>
        <sz val="11"/>
        <color rgb="FF000000"/>
        <rFont val="Aptos Narrow"/>
        <family val="2"/>
        <scheme val="minor"/>
      </rPr>
      <t>"Revitalise, upgrade and expand existing network of river gauges and rain gauges"</t>
    </r>
  </si>
  <si>
    <r>
      <rPr>
        <sz val="11"/>
        <color rgb="FF000000"/>
        <rFont val="Aptos Narrow"/>
        <family val="2"/>
        <scheme val="minor"/>
      </rPr>
      <t>Re-titled from "</t>
    </r>
    <r>
      <rPr>
        <i/>
        <sz val="11"/>
        <color rgb="FF000000"/>
        <rFont val="Aptos Narrow"/>
        <family val="2"/>
        <scheme val="minor"/>
      </rPr>
      <t>Preparation of radar network plan and establishment of weather watch radar in 5 countries</t>
    </r>
    <r>
      <rPr>
        <sz val="11"/>
        <color rgb="FF000000"/>
        <rFont val="Aptos Narrow"/>
        <family val="2"/>
        <scheme val="minor"/>
      </rPr>
      <t>". Extended budgeted work plan out to complete implementation of Samoa radar. Previously approved samoa radar budget was for commencing the project only with USD 1.47M (AUD 2.37M).</t>
    </r>
  </si>
  <si>
    <r>
      <rPr>
        <sz val="11"/>
        <color rgb="FF000000"/>
        <rFont val="Aptos Narrow"/>
        <family val="2"/>
        <scheme val="minor"/>
      </rPr>
      <t xml:space="preserve">Simplified activity title from </t>
    </r>
    <r>
      <rPr>
        <i/>
        <sz val="11"/>
        <color rgb="FF000000"/>
        <rFont val="Aptos Narrow"/>
        <family val="2"/>
        <scheme val="minor"/>
      </rPr>
      <t>"Establishment of wave ride buoys and establishment of standard operating procedures"</t>
    </r>
  </si>
  <si>
    <r>
      <rPr>
        <sz val="11"/>
        <color rgb="FF000000"/>
        <rFont val="Aptos Narrow"/>
        <family val="2"/>
        <scheme val="minor"/>
      </rPr>
      <t xml:space="preserve">Simplified activity title from </t>
    </r>
    <r>
      <rPr>
        <i/>
        <sz val="11"/>
        <color rgb="FF000000"/>
        <rFont val="Aptos Narrow"/>
        <family val="2"/>
        <scheme val="minor"/>
      </rPr>
      <t>"Establishment of fixed and relocatable tide gauges"</t>
    </r>
  </si>
  <si>
    <r>
      <rPr>
        <sz val="11"/>
        <color rgb="FF000000"/>
        <rFont val="Aptos Narrow"/>
        <family val="2"/>
        <scheme val="minor"/>
      </rPr>
      <t xml:space="preserve">Simplified activity title from </t>
    </r>
    <r>
      <rPr>
        <i/>
        <sz val="11"/>
        <color rgb="FF000000"/>
        <rFont val="Aptos Narrow"/>
        <family val="2"/>
        <scheme val="minor"/>
      </rPr>
      <t>"Establishment of automated meteorological ballon launching systems in 7 countries not covered by the Green Climate Fund Project"</t>
    </r>
  </si>
  <si>
    <r>
      <rPr>
        <sz val="11"/>
        <color rgb="FF000000"/>
        <rFont val="Aptos Narrow"/>
        <family val="2"/>
        <scheme val="minor"/>
      </rPr>
      <t>Re-titled from "</t>
    </r>
    <r>
      <rPr>
        <i/>
        <sz val="11"/>
        <color rgb="FF000000"/>
        <rFont val="Aptos Narrow"/>
        <family val="2"/>
        <scheme val="minor"/>
      </rPr>
      <t>Establishment of a Regional Training Centre and the training of observers, technicians and IT specialists</t>
    </r>
    <r>
      <rPr>
        <sz val="11"/>
        <color rgb="FF000000"/>
        <rFont val="Aptos Narrow"/>
        <family val="2"/>
        <scheme val="minor"/>
      </rPr>
      <t xml:space="preserve">" and separated to new activity 2.2.3. Budgeted work plan increased to enable PIETR RTC task team and WRP to progress critical activities, such as development of RTC business model and capacity development roadmap. </t>
    </r>
  </si>
  <si>
    <t xml:space="preserve">Increased budget based on improved cost estimates for BIP-M training, living costs, tutoring and support. Extended budgeted work plan an additional year to 2027. No further budget allocated yet beyond 2027. </t>
  </si>
  <si>
    <r>
      <rPr>
        <sz val="11"/>
        <color rgb="FF000000"/>
        <rFont val="Aptos Narrow"/>
        <family val="2"/>
        <scheme val="minor"/>
      </rPr>
      <t>Re-titled and expanded activity from "</t>
    </r>
    <r>
      <rPr>
        <i/>
        <sz val="11"/>
        <color rgb="FF000000"/>
        <rFont val="Aptos Narrow"/>
        <family val="2"/>
        <scheme val="minor"/>
      </rPr>
      <t>Provision of diploma and postgraduate certificate training in hydrography and hydrology, and training course on marine meteorological services and assessment of marine competencies"</t>
    </r>
    <r>
      <rPr>
        <sz val="11"/>
        <color rgb="FF000000"/>
        <rFont val="Aptos Narrow"/>
        <family val="2"/>
        <scheme val="minor"/>
      </rPr>
      <t xml:space="preserve">. This is to recognise the need for specialised competency based training across all services and disciplines, not only hydrology and marine. This is in addition to BIP-M basic training. Budgeted work plan has been increased for hydrology training for 2025 and 2027. </t>
    </r>
  </si>
  <si>
    <t xml:space="preserve">New activity, previously combined with 2.1.1 Establishment of RTC. Budgeted work plan extended for BIP-MT training to 2027. No further budget allocated yet beyond 2027. </t>
  </si>
  <si>
    <t>New activity to improve visibility of investment into expanding staff capacity in the pacific. Delayed recruitment of WRP Training and Capacity Development Advisor may require re-phasing or reallocation of budget from UK WISER.</t>
  </si>
  <si>
    <r>
      <rPr>
        <sz val="11"/>
        <color rgb="FF000000"/>
        <rFont val="Aptos Narrow"/>
        <family val="2"/>
        <scheme val="minor"/>
      </rPr>
      <t xml:space="preserve">Re-titled activity from </t>
    </r>
    <r>
      <rPr>
        <i/>
        <sz val="11"/>
        <color rgb="FF000000"/>
        <rFont val="Aptos Narrow"/>
        <family val="2"/>
        <scheme val="minor"/>
      </rPr>
      <t>"Twinning programme with BOM, NZ Met Services, NIWA and NOAA to provide ongoing mentoring to NMHS"</t>
    </r>
  </si>
  <si>
    <t>NA</t>
  </si>
  <si>
    <t xml:space="preserve">MHEWS Readiness Fund (flexi-fund) allocated here under "Contingency and Other" until concepts are finalised and budget will be reallocated to appropriate KRA. Increased 2025 budget of USD10k per country. Extended budgets out to 2029. </t>
  </si>
  <si>
    <t>Unused funds from 2025 redistributed. Communication strategy done in-house so $50k funding was reallocated. Including additional $27k funds allocated to Branding and Advertising to support implementation of communication strategy. Corrections in actual budgets from ESNZ cause of the main decrease.</t>
  </si>
  <si>
    <t>Unused funds from 2025 redistributed. Addtiional $112k funding allocated to WRP SC and Liaison Platform to cover expected costs. $45k added to staff start up costs.</t>
  </si>
  <si>
    <t>MFAT provided additional $20k in 2026 towards MERL implemenation.</t>
  </si>
  <si>
    <t>Savings made as a result of delayed/deferred recruitment. PMU roles are budgeted higher which acts as a contingency for the program - unused funds from 2025 redistributed.</t>
  </si>
  <si>
    <t>Allocation of $100k funding to start investigation on a financing facility (if world bank is not able to provide TA support).</t>
  </si>
  <si>
    <t>Additional $71k budget allocated to support mainstreaming GEDSI into WRP implementation from 2026 out to 2029.  This is to help cover disability accomodations in events and workshops venues per feedback from DFAT in IDS.</t>
  </si>
  <si>
    <t xml:space="preserve">$800k funds originally provisioned for 2028 has been reallocated to Samoa radar in order to fully fund the radar activities in 2026 and 2027 (SC approved out-of-session). Required for IFP in future will be determined as the IFP design is completed and ICT gaps confirmed. </t>
  </si>
  <si>
    <t>Minor budget adjustments to cover cost of Lidar surveys for Marshall Islands.</t>
  </si>
  <si>
    <t xml:space="preserve">Budget savings/reduction due to delayed recruitment by countries on ICT staff. </t>
  </si>
  <si>
    <t xml:space="preserve">Minor budget adjustments for rounding. </t>
  </si>
  <si>
    <t xml:space="preserve">Minor budget adjustments to reflect actual cost of COPE book translation and launch for Niue and Tokelau. </t>
  </si>
  <si>
    <t>No change to total. Redistribution of cost to later years due to underspend in 2025.</t>
  </si>
  <si>
    <t>$100k fund reallocated from here to 1.3.1 sustainable financing investment facility (in the event that World Bank is not able to provide TA support). Reforecasted expenditure for 2026 to 2027 for development of asset plans, network plans and asset information system. $20k budget allocated towards development of Geohazard network asset plan/strategy.</t>
  </si>
  <si>
    <t>Increased budget by $1350k to cover cost of the Samoa radar in 2027 capital cost.</t>
  </si>
  <si>
    <t>Minor budget adjustments to reflect actual cost of regional workshop and business model review for RTC and RIC.</t>
  </si>
  <si>
    <t>Cost of Hydrologist training (BIP-H) in Pagasa lower than forecasted. Budget reduction by $50k.</t>
  </si>
  <si>
    <t>Unused funds from 2025 redistributed. Cost of BIP MT training $24k lower than forecasted.</t>
  </si>
  <si>
    <t>Unused funds from 2025 redistributed. Cost of CAP training $43k lower than forecasted.</t>
  </si>
  <si>
    <t xml:space="preserve">Budget savings/reduction due to delayed recruitment of PMU Training and Capacity Development Advisor. </t>
  </si>
  <si>
    <t xml:space="preserve">Underspend by countries Readiness Fund/Flexi-fund in 2025 has been reallocated. Resulting in overall reduction in funding by $138k. </t>
  </si>
  <si>
    <t xml:space="preserve">Minor increase in total committed funding from MFAT to cover consultant cost for MERL implementation in 2026. Corrections in actual budgets from ESNZ cause of main decrease. </t>
  </si>
  <si>
    <t>Adele</t>
  </si>
  <si>
    <t>NIWA Earth Science</t>
  </si>
  <si>
    <r>
      <rPr>
        <b/>
        <sz val="13"/>
        <color rgb="FF000000"/>
        <rFont val="Aptos Narrow"/>
        <family val="2"/>
      </rPr>
      <t xml:space="preserve">KRA 1 </t>
    </r>
    <r>
      <rPr>
        <b/>
        <sz val="13"/>
        <color rgb="FF0070C0"/>
        <rFont val="Aptos Narrow"/>
        <family val="2"/>
      </rPr>
      <t>GOVERNANCE</t>
    </r>
    <r>
      <rPr>
        <b/>
        <sz val="13"/>
        <color rgb="FF000000"/>
        <rFont val="Aptos Narrow"/>
        <family val="2"/>
      </rPr>
      <t>, MANAGEMENT AND COORDINATION</t>
    </r>
  </si>
  <si>
    <t/>
  </si>
  <si>
    <r>
      <rPr>
        <sz val="13"/>
        <color rgb="FF0070C0"/>
        <rFont val="Aptos Narrow"/>
        <family val="2"/>
        <scheme val="minor"/>
      </rPr>
      <t>Operational Phase of PMU</t>
    </r>
    <r>
      <rPr>
        <sz val="13"/>
        <color rgb="FF000000"/>
        <rFont val="Aptos Narrow"/>
        <family val="2"/>
        <scheme val="minor"/>
      </rPr>
      <t xml:space="preserve"> </t>
    </r>
    <r>
      <rPr>
        <sz val="13"/>
        <color rgb="FF0070C0"/>
        <rFont val="Aptos Narrow"/>
        <family val="2"/>
        <scheme val="minor"/>
      </rPr>
      <t>and coordination activities</t>
    </r>
  </si>
  <si>
    <r>
      <t xml:space="preserve">KRA 4 FORECAST AND WARNING PRODUCTION </t>
    </r>
    <r>
      <rPr>
        <b/>
        <i/>
        <sz val="13"/>
        <color rgb="FF000000"/>
        <rFont val="Aptos Narrow"/>
        <family val="2"/>
        <scheme val="minor"/>
      </rPr>
      <t>(previously KRA 2)</t>
    </r>
  </si>
  <si>
    <r>
      <rPr>
        <sz val="13"/>
        <color rgb="FF000000"/>
        <rFont val="Aptos Narrow"/>
        <family val="2"/>
        <scheme val="minor"/>
      </rPr>
      <t>Develop an</t>
    </r>
    <r>
      <rPr>
        <sz val="13"/>
        <color rgb="FF0070C0"/>
        <rFont val="Aptos Narrow"/>
        <family val="2"/>
        <scheme val="minor"/>
      </rPr>
      <t xml:space="preserve"> </t>
    </r>
    <r>
      <rPr>
        <sz val="13"/>
        <color rgb="FF000000"/>
        <rFont val="Aptos Narrow"/>
        <family val="2"/>
        <scheme val="minor"/>
      </rPr>
      <t xml:space="preserve">Integrated </t>
    </r>
    <r>
      <rPr>
        <sz val="13"/>
        <color rgb="FF0070C0"/>
        <rFont val="Aptos Narrow"/>
        <family val="2"/>
        <scheme val="minor"/>
      </rPr>
      <t>Forecasting</t>
    </r>
    <r>
      <rPr>
        <sz val="13"/>
        <color rgb="FF000000"/>
        <rFont val="Aptos Narrow"/>
        <family val="2"/>
        <scheme val="minor"/>
      </rPr>
      <t xml:space="preserve"> Platform</t>
    </r>
    <r>
      <rPr>
        <sz val="13"/>
        <color rgb="FF0070C0"/>
        <rFont val="Aptos Narrow"/>
        <family val="2"/>
        <scheme val="minor"/>
      </rPr>
      <t xml:space="preserve"> and strengthen RSMCs (incl WIS, CAP)</t>
    </r>
  </si>
  <si>
    <r>
      <rPr>
        <sz val="13"/>
        <color rgb="FF0070C0"/>
        <rFont val="Aptos Narrow"/>
        <family val="2"/>
        <scheme val="minor"/>
      </rPr>
      <t xml:space="preserve">Strengthen </t>
    </r>
    <r>
      <rPr>
        <sz val="13"/>
        <color rgb="FF000000"/>
        <rFont val="Aptos Narrow"/>
        <family val="2"/>
        <scheme val="minor"/>
      </rPr>
      <t>coastal inundation forecasting</t>
    </r>
  </si>
  <si>
    <t>Output 1. Coastal Datal Collection and Inundation Forecasting in Tokelau</t>
  </si>
  <si>
    <r>
      <rPr>
        <sz val="13"/>
        <color rgb="FF0070C0"/>
        <rFont val="Aptos Narrow"/>
        <family val="2"/>
        <scheme val="minor"/>
      </rPr>
      <t xml:space="preserve">Strengthen hydrological services and </t>
    </r>
    <r>
      <rPr>
        <sz val="13"/>
        <color rgb="FF000000"/>
        <rFont val="Aptos Narrow"/>
        <family val="2"/>
        <scheme val="minor"/>
      </rPr>
      <t>riverine flood forecasting</t>
    </r>
  </si>
  <si>
    <r>
      <rPr>
        <sz val="13"/>
        <color rgb="FF000000"/>
        <rFont val="Aptos Narrow"/>
        <family val="2"/>
      </rPr>
      <t xml:space="preserve">Provide additional ICT </t>
    </r>
    <r>
      <rPr>
        <sz val="13"/>
        <color rgb="FF0070C0"/>
        <rFont val="Aptos Narrow"/>
        <family val="2"/>
      </rPr>
      <t>and other technical staff</t>
    </r>
    <r>
      <rPr>
        <sz val="13"/>
        <color rgb="FF000000"/>
        <rFont val="Aptos Narrow"/>
        <family val="2"/>
      </rPr>
      <t xml:space="preserve"> </t>
    </r>
    <r>
      <rPr>
        <sz val="13"/>
        <color rgb="FF0070C0"/>
        <rFont val="Aptos Narrow"/>
        <family val="2"/>
      </rPr>
      <t>to expand capacity</t>
    </r>
  </si>
  <si>
    <r>
      <rPr>
        <b/>
        <sz val="13"/>
        <color rgb="FF000000"/>
        <rFont val="Aptos Narrow"/>
        <family val="2"/>
      </rPr>
      <t xml:space="preserve">KRA 5 COMMUNICATION AND DELIVERY OF FORECASTS AND WARNINGS TO END USERS </t>
    </r>
    <r>
      <rPr>
        <b/>
        <i/>
        <sz val="13"/>
        <color rgb="FF000000"/>
        <rFont val="Aptos Narrow"/>
        <family val="2"/>
      </rPr>
      <t>(previously KRA 3)</t>
    </r>
  </si>
  <si>
    <r>
      <rPr>
        <sz val="13"/>
        <color rgb="FF0070C0"/>
        <rFont val="Aptos Narrow"/>
        <family val="2"/>
        <scheme val="minor"/>
      </rPr>
      <t>Planning</t>
    </r>
    <r>
      <rPr>
        <sz val="13"/>
        <color rgb="FF000000"/>
        <rFont val="Aptos Narrow"/>
        <family val="2"/>
        <scheme val="minor"/>
      </rPr>
      <t xml:space="preserve"> for</t>
    </r>
    <r>
      <rPr>
        <sz val="13"/>
        <color rgb="FF0070C0"/>
        <rFont val="Aptos Narrow"/>
        <family val="2"/>
        <scheme val="minor"/>
      </rPr>
      <t xml:space="preserve"> </t>
    </r>
    <r>
      <rPr>
        <sz val="13"/>
        <color rgb="FF000000"/>
        <rFont val="Aptos Narrow"/>
        <family val="2"/>
        <scheme val="minor"/>
      </rPr>
      <t xml:space="preserve">delivery of </t>
    </r>
    <r>
      <rPr>
        <sz val="13"/>
        <color rgb="FF0070C0"/>
        <rFont val="Aptos Narrow"/>
        <family val="2"/>
        <scheme val="minor"/>
      </rPr>
      <t>impact-based</t>
    </r>
    <r>
      <rPr>
        <sz val="13"/>
        <color rgb="FF000000"/>
        <rFont val="Aptos Narrow"/>
        <family val="2"/>
        <scheme val="minor"/>
      </rPr>
      <t xml:space="preserve"> messages and warnings to end-users, considering </t>
    </r>
    <r>
      <rPr>
        <sz val="13"/>
        <color rgb="FF0070C0"/>
        <rFont val="Aptos Narrow"/>
        <family val="2"/>
        <scheme val="minor"/>
      </rPr>
      <t xml:space="preserve">persons with disabilities </t>
    </r>
    <r>
      <rPr>
        <sz val="13"/>
        <color rgb="FF000000"/>
        <rFont val="Aptos Narrow"/>
        <family val="2"/>
        <scheme val="minor"/>
      </rPr>
      <t>and vulnerable groups.</t>
    </r>
  </si>
  <si>
    <r>
      <rPr>
        <sz val="13"/>
        <color rgb="FF000000"/>
        <rFont val="Aptos Narrow"/>
        <family val="2"/>
        <scheme val="minor"/>
      </rPr>
      <t>Deliver</t>
    </r>
    <r>
      <rPr>
        <sz val="13"/>
        <color rgb="FF0070C0"/>
        <rFont val="Aptos Narrow"/>
        <family val="2"/>
        <scheme val="minor"/>
      </rPr>
      <t xml:space="preserve"> and continuously review </t>
    </r>
    <r>
      <rPr>
        <sz val="13"/>
        <color rgb="FF000000"/>
        <rFont val="Aptos Narrow"/>
        <family val="2"/>
        <scheme val="minor"/>
      </rPr>
      <t>impact based messaging including translation into local languages</t>
    </r>
  </si>
  <si>
    <r>
      <rPr>
        <sz val="13"/>
        <color rgb="FF000000"/>
        <rFont val="Aptos Narrow"/>
        <family val="2"/>
        <scheme val="minor"/>
      </rPr>
      <t xml:space="preserve">Install </t>
    </r>
    <r>
      <rPr>
        <sz val="13"/>
        <color rgb="FF0070C0"/>
        <rFont val="Aptos Narrow"/>
        <family val="2"/>
        <scheme val="minor"/>
      </rPr>
      <t>communication</t>
    </r>
    <r>
      <rPr>
        <sz val="13"/>
        <color rgb="FF000000"/>
        <rFont val="Aptos Narrow"/>
        <family val="2"/>
        <scheme val="minor"/>
      </rPr>
      <t xml:space="preserve"> internet access equipment and operational costs</t>
    </r>
  </si>
  <si>
    <r>
      <rPr>
        <b/>
        <sz val="13"/>
        <color rgb="FF000000"/>
        <rFont val="Aptos Narrow"/>
        <family val="2"/>
      </rPr>
      <t xml:space="preserve">KRA 3 </t>
    </r>
    <r>
      <rPr>
        <b/>
        <sz val="13"/>
        <color rgb="FF0070C0"/>
        <rFont val="Aptos Narrow"/>
        <family val="2"/>
      </rPr>
      <t xml:space="preserve">OBSERVATION NETWORK </t>
    </r>
    <r>
      <rPr>
        <b/>
        <sz val="13"/>
        <color rgb="FF000000"/>
        <rFont val="Aptos Narrow"/>
        <family val="2"/>
      </rPr>
      <t>INFRASTRUCTURE</t>
    </r>
    <r>
      <rPr>
        <b/>
        <i/>
        <sz val="13"/>
        <color rgb="FF000000"/>
        <rFont val="Aptos Narrow"/>
        <family val="2"/>
      </rPr>
      <t xml:space="preserve"> (previously KRA 4)</t>
    </r>
  </si>
  <si>
    <r>
      <rPr>
        <sz val="13"/>
        <color rgb="FF000000"/>
        <rFont val="Aptos Narrow"/>
        <family val="2"/>
        <scheme val="minor"/>
      </rPr>
      <t xml:space="preserve">Establish </t>
    </r>
    <r>
      <rPr>
        <sz val="13"/>
        <color rgb="FF0070C0"/>
        <rFont val="Aptos Narrow"/>
        <family val="2"/>
        <scheme val="minor"/>
      </rPr>
      <t>and operate</t>
    </r>
    <r>
      <rPr>
        <sz val="13"/>
        <color rgb="FF000000"/>
        <rFont val="Aptos Narrow"/>
        <family val="2"/>
        <scheme val="minor"/>
      </rPr>
      <t xml:space="preserve"> a Regional</t>
    </r>
    <r>
      <rPr>
        <sz val="13"/>
        <color rgb="FF0070C0"/>
        <rFont val="Aptos Narrow"/>
        <family val="2"/>
        <scheme val="minor"/>
      </rPr>
      <t xml:space="preserve"> Instrument </t>
    </r>
    <r>
      <rPr>
        <sz val="13"/>
        <color rgb="FF000000"/>
        <rFont val="Aptos Narrow"/>
        <family val="2"/>
        <scheme val="minor"/>
      </rPr>
      <t>Centre (RIC)</t>
    </r>
  </si>
  <si>
    <r>
      <rPr>
        <sz val="13"/>
        <color rgb="FF000000"/>
        <rFont val="Aptos Narrow"/>
        <family val="2"/>
      </rPr>
      <t xml:space="preserve">Implement observation network plans, </t>
    </r>
    <r>
      <rPr>
        <sz val="13"/>
        <color rgb="FF0070C0"/>
        <rFont val="Aptos Narrow"/>
        <family val="2"/>
      </rPr>
      <t>asset management, standardised infrastructure, data management and maintenance practices</t>
    </r>
  </si>
  <si>
    <t>Output 3. Development of a Guidance Document for Standardisation and Maintenance of Meteorological Equipment</t>
  </si>
  <si>
    <t>Output Support. Technical Assistance</t>
  </si>
  <si>
    <t>Output 2. AWS and Manual Station Observation Network Sustainability Planning and Refurbishment (Refurbishment AWS MWS)</t>
  </si>
  <si>
    <t>Output 2.  Station Observation Network Sustainability Planning and Refurbishment</t>
  </si>
  <si>
    <r>
      <rPr>
        <sz val="13"/>
        <color rgb="FF0070C0"/>
        <rFont val="Aptos Narrow"/>
        <family val="2"/>
        <scheme val="minor"/>
      </rPr>
      <t>Revitalise and expand</t>
    </r>
    <r>
      <rPr>
        <sz val="13"/>
        <color rgb="FF000000"/>
        <rFont val="Aptos Narrow"/>
        <family val="2"/>
        <scheme val="minor"/>
      </rPr>
      <t xml:space="preserve"> wave buoys</t>
    </r>
  </si>
  <si>
    <r>
      <rPr>
        <sz val="13"/>
        <color rgb="FF0070C0"/>
        <rFont val="Aptos Narrow"/>
        <family val="2"/>
        <scheme val="minor"/>
      </rPr>
      <t>Revitalise and expand</t>
    </r>
    <r>
      <rPr>
        <sz val="13"/>
        <color rgb="FF000000"/>
        <rFont val="Aptos Narrow"/>
        <family val="2"/>
        <scheme val="minor"/>
      </rPr>
      <t xml:space="preserve"> tide gauges</t>
    </r>
  </si>
  <si>
    <r>
      <rPr>
        <sz val="13"/>
        <color rgb="FF0070C0"/>
        <rFont val="Aptos Narrow"/>
        <family val="2"/>
        <scheme val="minor"/>
      </rPr>
      <t>Revitalise and expand</t>
    </r>
    <r>
      <rPr>
        <sz val="13"/>
        <color rgb="FF000000"/>
        <rFont val="Aptos Narrow"/>
        <family val="2"/>
        <scheme val="minor"/>
      </rPr>
      <t xml:space="preserve"> Meteorological balloon launching systems</t>
    </r>
  </si>
  <si>
    <r>
      <t xml:space="preserve">KRA 2 </t>
    </r>
    <r>
      <rPr>
        <b/>
        <sz val="13"/>
        <color rgb="FF0070C0"/>
        <rFont val="Aptos Narrow"/>
        <family val="2"/>
      </rPr>
      <t xml:space="preserve">PEOPLE CAPABILITY </t>
    </r>
    <r>
      <rPr>
        <b/>
        <i/>
        <sz val="13"/>
        <color rgb="FF000000"/>
        <rFont val="Aptos Narrow"/>
        <family val="2"/>
      </rPr>
      <t>(previously KRA 5 Training and Capacity)</t>
    </r>
  </si>
  <si>
    <r>
      <rPr>
        <sz val="13"/>
        <color rgb="FF000000"/>
        <rFont val="Aptos Narrow"/>
        <family val="2"/>
        <scheme val="minor"/>
      </rPr>
      <t xml:space="preserve">Establish </t>
    </r>
    <r>
      <rPr>
        <sz val="13"/>
        <color rgb="FF0070C0"/>
        <rFont val="Aptos Narrow"/>
        <family val="2"/>
        <scheme val="minor"/>
      </rPr>
      <t>and operate</t>
    </r>
    <r>
      <rPr>
        <sz val="13"/>
        <color rgb="FF000000"/>
        <rFont val="Aptos Narrow"/>
        <family val="2"/>
        <scheme val="minor"/>
      </rPr>
      <t xml:space="preserve"> a Regional Training Centre (RTC)</t>
    </r>
  </si>
  <si>
    <t>Output 4. HydroMet Training, Resources and Community of Practice</t>
  </si>
  <si>
    <r>
      <rPr>
        <sz val="13"/>
        <color rgb="FF000000"/>
        <rFont val="Aptos Narrow"/>
        <family val="2"/>
        <scheme val="minor"/>
      </rPr>
      <t xml:space="preserve">Training on </t>
    </r>
    <r>
      <rPr>
        <sz val="13"/>
        <color rgb="FF0070C0"/>
        <rFont val="Aptos Narrow"/>
        <family val="2"/>
        <scheme val="minor"/>
      </rPr>
      <t>specialised forecasting</t>
    </r>
    <r>
      <rPr>
        <sz val="13"/>
        <color rgb="FF000000"/>
        <rFont val="Aptos Narrow"/>
        <family val="2"/>
        <scheme val="minor"/>
      </rPr>
      <t xml:space="preserve"> services, and assessment of competencies (e.g. marine, </t>
    </r>
    <r>
      <rPr>
        <sz val="13"/>
        <color rgb="FF0070C0"/>
        <rFont val="Aptos Narrow"/>
        <family val="2"/>
        <scheme val="minor"/>
      </rPr>
      <t>aviation</t>
    </r>
    <r>
      <rPr>
        <sz val="13"/>
        <color rgb="FF000000"/>
        <rFont val="Aptos Narrow"/>
        <family val="2"/>
        <scheme val="minor"/>
      </rPr>
      <t>, hydrology/ hydrography)</t>
    </r>
  </si>
  <si>
    <r>
      <rPr>
        <sz val="13"/>
        <color rgb="FF000000"/>
        <rFont val="Aptos Narrow"/>
        <family val="2"/>
        <scheme val="minor"/>
      </rPr>
      <t>Training of observers, technicians and ICT specialists,</t>
    </r>
    <r>
      <rPr>
        <sz val="13"/>
        <color rgb="FF0070C0"/>
        <rFont val="Aptos Narrow"/>
        <family val="2"/>
        <scheme val="minor"/>
      </rPr>
      <t xml:space="preserve"> and assessment of competencies</t>
    </r>
  </si>
  <si>
    <t>Output 4. HydroMet Community of Practice</t>
  </si>
  <si>
    <r>
      <rPr>
        <sz val="13"/>
        <color rgb="FF000000"/>
        <rFont val="Aptos Narrow"/>
        <family val="2"/>
        <scheme val="minor"/>
      </rPr>
      <t xml:space="preserve">Twinning programme, ongoing mentoring </t>
    </r>
    <r>
      <rPr>
        <sz val="13"/>
        <color rgb="FF0070C0"/>
        <rFont val="Aptos Narrow"/>
        <family val="2"/>
        <scheme val="minor"/>
      </rPr>
      <t>and communities of practices</t>
    </r>
  </si>
  <si>
    <r>
      <rPr>
        <b/>
        <sz val="13"/>
        <color rgb="FF0070C0"/>
        <rFont val="Aptos Narrow"/>
        <family val="2"/>
        <scheme val="minor"/>
      </rPr>
      <t xml:space="preserve">KRA6 RISK INFORMATION AND PREPAREDNESS </t>
    </r>
    <r>
      <rPr>
        <b/>
        <i/>
        <sz val="13"/>
        <color rgb="FF0070C0"/>
        <rFont val="Aptos Narrow"/>
        <family val="2"/>
        <scheme val="minor"/>
      </rPr>
      <t>(new)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</si>
</sst>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WS$&quot;#,##0;\-&quot;WS$&quot;#,##0"/>
    <numFmt numFmtId="165" formatCode="_-&quot;WS$&quot;* #,##0.00_-;\-&quot;WS$&quot;* #,##0.00_-;_-&quot;WS$&quot;* &quot;-&quot;??_-;_-@_-"/>
    <numFmt numFmtId="166" formatCode="&quot;WS$&quot;#,##0;[Red]&quot;WS$&quot;#,##0"/>
    <numFmt numFmtId="167" formatCode="#,##0_ ;\-#,##0\ "/>
    <numFmt numFmtId="168" formatCode="#,##0;[Red]#,##0"/>
    <numFmt numFmtId="169" formatCode="_(* #,##0_);_(* \(#,##0\);_(* &quot;-&quot;??_);_(@_)"/>
    <numFmt numFmtId="170" formatCode="_(* #,##0_);_(* \(#,##0\);_(* &quot;-&quot;??????_);_(@_)"/>
    <numFmt numFmtId="171" formatCode="&quot;WS$&quot;#,##0"/>
  </numFmts>
  <fonts count="57">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sz val="11"/>
      <color rgb="FF000000"/>
      <name val="Aptos Narrow"/>
      <family val="2"/>
      <scheme val="minor"/>
    </font>
    <font>
      <sz val="11"/>
      <name val="Aptos Narrow"/>
      <family val="2"/>
      <scheme val="minor"/>
    </font>
    <font>
      <b/>
      <sz val="11"/>
      <color rgb="FF000000"/>
      <name val="Aptos Narrow"/>
      <family val="2"/>
      <scheme val="minor"/>
    </font>
    <font>
      <b/>
      <sz val="11"/>
      <name val="Aptos Narrow"/>
      <family val="2"/>
      <scheme val="minor"/>
    </font>
    <font>
      <b/>
      <sz val="16"/>
      <color theme="1"/>
      <name val="Aptos Narrow"/>
      <family val="2"/>
      <scheme val="minor"/>
    </font>
    <font>
      <b/>
      <sz val="11"/>
      <color rgb="FFFF0000"/>
      <name val="Aptos Narrow"/>
      <family val="2"/>
      <scheme val="minor"/>
    </font>
    <font>
      <b/>
      <sz val="12"/>
      <color theme="1"/>
      <name val="Aptos Narrow"/>
      <family val="2"/>
      <scheme val="minor"/>
    </font>
    <font>
      <u/>
      <sz val="11"/>
      <color theme="10"/>
      <name val="Aptos Narrow"/>
      <family val="2"/>
      <scheme val="minor"/>
    </font>
    <font>
      <sz val="11"/>
      <color theme="0"/>
      <name val="Aptos Narrow"/>
      <family val="2"/>
      <scheme val="minor"/>
    </font>
    <font>
      <b/>
      <sz val="11"/>
      <color theme="0"/>
      <name val="Aptos Narrow"/>
      <family val="2"/>
      <scheme val="minor"/>
    </font>
    <font>
      <strike/>
      <sz val="11"/>
      <color rgb="FF000000"/>
      <name val="Aptos Narrow"/>
      <family val="2"/>
      <scheme val="minor"/>
    </font>
    <font>
      <sz val="9"/>
      <color indexed="81"/>
      <name val="Tahoma"/>
      <family val="2"/>
    </font>
    <font>
      <b/>
      <sz val="9"/>
      <color indexed="81"/>
      <name val="Tahoma"/>
      <family val="2"/>
    </font>
    <font>
      <sz val="11"/>
      <color theme="9"/>
      <name val="Aptos Narrow"/>
      <family val="2"/>
      <scheme val="minor"/>
    </font>
    <font>
      <sz val="11"/>
      <color rgb="FF000000"/>
      <name val="Aptos Narrow"/>
      <family val="2"/>
    </font>
    <font>
      <b/>
      <sz val="11"/>
      <color theme="2"/>
      <name val="Aptos Narrow"/>
      <family val="2"/>
      <scheme val="minor"/>
    </font>
    <font>
      <sz val="11"/>
      <color theme="2"/>
      <name val="Aptos Narrow"/>
      <family val="2"/>
      <scheme val="minor"/>
    </font>
    <font>
      <sz val="10"/>
      <color theme="1"/>
      <name val="Verdana"/>
      <family val="2"/>
      <charset val="1"/>
    </font>
    <font>
      <sz val="11"/>
      <color theme="1"/>
      <name val="Aptos Display"/>
      <family val="2"/>
      <scheme val="major"/>
    </font>
    <font>
      <sz val="11"/>
      <color rgb="FF242424"/>
      <name val="Aptos Narrow"/>
      <family val="2"/>
    </font>
    <font>
      <b/>
      <sz val="12"/>
      <color rgb="FF000000"/>
      <name val="Aptos Narrow"/>
      <family val="2"/>
      <scheme val="minor"/>
    </font>
    <font>
      <b/>
      <sz val="12"/>
      <name val="Aptos Narrow"/>
      <family val="2"/>
      <scheme val="minor"/>
    </font>
    <font>
      <b/>
      <sz val="13"/>
      <color theme="1"/>
      <name val="Aptos Narrow"/>
      <family val="2"/>
      <scheme val="minor"/>
    </font>
    <font>
      <b/>
      <sz val="13"/>
      <color theme="1"/>
      <name val="Aptos Narrow"/>
      <family val="2"/>
    </font>
    <font>
      <sz val="13"/>
      <color theme="1"/>
      <name val="Aptos Narrow"/>
      <family val="2"/>
      <scheme val="minor"/>
    </font>
    <font>
      <sz val="13"/>
      <color theme="0"/>
      <name val="Aptos Narrow"/>
      <family val="2"/>
      <scheme val="minor"/>
    </font>
    <font>
      <sz val="13"/>
      <color rgb="FF0070C0"/>
      <name val="Aptos Narrow"/>
      <family val="2"/>
      <scheme val="minor"/>
    </font>
    <font>
      <sz val="13"/>
      <color rgb="FF000000"/>
      <name val="Aptos Narrow"/>
      <family val="2"/>
      <scheme val="minor"/>
    </font>
    <font>
      <b/>
      <sz val="13"/>
      <color rgb="FF000000"/>
      <name val="Aptos Narrow"/>
      <family val="2"/>
      <scheme val="minor"/>
    </font>
    <font>
      <b/>
      <i/>
      <sz val="13"/>
      <color rgb="FF000000"/>
      <name val="Aptos Narrow"/>
      <family val="2"/>
      <scheme val="minor"/>
    </font>
    <font>
      <sz val="13"/>
      <color rgb="FF0070C0"/>
      <name val="Aptos Narrow"/>
      <family val="2"/>
    </font>
    <font>
      <b/>
      <sz val="13"/>
      <color rgb="FF000000"/>
      <name val="Aptos Narrow"/>
      <family val="2"/>
    </font>
    <font>
      <b/>
      <i/>
      <sz val="13"/>
      <color rgb="FF000000"/>
      <name val="Aptos Narrow"/>
      <family val="2"/>
    </font>
    <font>
      <b/>
      <sz val="13"/>
      <color rgb="FF0070C0"/>
      <name val="Aptos Narrow"/>
      <family val="2"/>
    </font>
    <font>
      <sz val="13"/>
      <color rgb="FF000000"/>
      <name val="Aptos Narrow"/>
      <family val="2"/>
    </font>
    <font>
      <sz val="13"/>
      <name val="Aptos Narrow"/>
      <family val="2"/>
      <scheme val="minor"/>
    </font>
    <font>
      <b/>
      <sz val="13"/>
      <color rgb="FF0070C0"/>
      <name val="Aptos Narrow"/>
      <family val="2"/>
      <scheme val="minor"/>
    </font>
    <font>
      <b/>
      <i/>
      <sz val="13"/>
      <color rgb="FF0070C0"/>
      <name val="Aptos Narrow"/>
      <family val="2"/>
      <scheme val="minor"/>
    </font>
    <font>
      <b/>
      <sz val="13"/>
      <color theme="0"/>
      <name val="Aptos Narrow"/>
      <family val="2"/>
      <scheme val="minor"/>
    </font>
    <font>
      <i/>
      <sz val="11"/>
      <color rgb="FF000000"/>
      <name val="Aptos Narrow"/>
      <family val="2"/>
      <scheme val="minor"/>
    </font>
    <font>
      <i/>
      <sz val="11"/>
      <color theme="1"/>
      <name val="Aptos Narrow"/>
      <family val="2"/>
      <scheme val="minor"/>
    </font>
    <font>
      <sz val="16"/>
      <color theme="1"/>
      <name val="Aptos Narrow"/>
      <family val="2"/>
      <scheme val="minor"/>
    </font>
    <font>
      <sz val="12"/>
      <color theme="1"/>
      <name val="Aptos Narrow"/>
      <family val="2"/>
      <scheme val="minor"/>
    </font>
    <font>
      <sz val="11"/>
      <color rgb="FF0070C0"/>
      <name val="Aptos Narrow"/>
      <family val="2"/>
      <scheme val="minor"/>
    </font>
    <font>
      <b/>
      <sz val="13"/>
      <name val="Aptos Narrow"/>
      <family val="2"/>
    </font>
    <font>
      <b/>
      <sz val="13"/>
      <name val="Aptos Narrow"/>
      <family val="2"/>
      <scheme val="minor"/>
    </font>
    <font>
      <b/>
      <i/>
      <sz val="13"/>
      <name val="Aptos Narrow"/>
      <family val="2"/>
      <scheme val="minor"/>
    </font>
    <font>
      <sz val="13"/>
      <name val="Aptos Narrow"/>
      <family val="2"/>
    </font>
    <font>
      <b/>
      <i/>
      <sz val="13"/>
      <name val="Aptos Narrow"/>
      <family val="2"/>
    </font>
    <font>
      <b/>
      <sz val="13"/>
      <color theme="0"/>
      <name val="Aptos Narrow"/>
      <family val="2"/>
    </font>
    <font>
      <b/>
      <sz val="20"/>
      <color rgb="FFFF0000"/>
      <name val="Aptos Narrow"/>
      <family val="2"/>
      <scheme val="minor"/>
    </font>
    <font>
      <b/>
      <sz val="18"/>
      <color theme="1"/>
      <name val="Aptos Narrow"/>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theme="1" tint="0.34998626667073579"/>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DDC0B8"/>
        <bgColor indexed="64"/>
      </patternFill>
    </fill>
    <fill>
      <patternFill patternType="solid">
        <fgColor theme="5"/>
        <bgColor indexed="64"/>
      </patternFill>
    </fill>
  </fills>
  <borders count="20">
    <border>
      <left/>
      <right/>
      <top/>
      <bottom/>
      <diagonal/>
    </border>
    <border>
      <left/>
      <right/>
      <top style="thin">
        <color theme="2" tint="-0.499984740745262"/>
      </top>
      <bottom style="thin">
        <color theme="2" tint="-0.499984740745262"/>
      </bottom>
      <diagonal/>
    </border>
    <border>
      <left/>
      <right/>
      <top/>
      <bottom style="thin">
        <color theme="2" tint="-0.4999847407452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000000"/>
      </top>
      <bottom style="double">
        <color rgb="FF000000"/>
      </bottom>
      <diagonal/>
    </border>
    <border>
      <left/>
      <right/>
      <top style="thin">
        <color rgb="FF000000"/>
      </top>
      <bottom style="thin">
        <color rgb="FF000000"/>
      </bottom>
      <diagonal/>
    </border>
    <border>
      <left/>
      <right/>
      <top style="thin">
        <color rgb="FF000000"/>
      </top>
      <bottom/>
      <diagonal/>
    </border>
    <border>
      <left/>
      <right/>
      <top style="thin">
        <color theme="2" tint="-0.499984740745262"/>
      </top>
      <bottom/>
      <diagonal/>
    </border>
    <border>
      <left/>
      <right/>
      <top style="thin">
        <color rgb="FF000000"/>
      </top>
      <bottom style="thin">
        <color indexed="64"/>
      </bottom>
      <diagonal/>
    </border>
    <border>
      <left style="thin">
        <color rgb="FF000000"/>
      </left>
      <right/>
      <top/>
      <bottom style="thin">
        <color theme="2" tint="-0.499984740745262"/>
      </bottom>
      <diagonal/>
    </border>
    <border>
      <left style="thin">
        <color rgb="FF000000"/>
      </left>
      <right/>
      <top style="thin">
        <color theme="2" tint="-0.499984740745262"/>
      </top>
      <bottom style="thin">
        <color theme="2" tint="-0.499984740745262"/>
      </bottom>
      <diagonal/>
    </border>
    <border>
      <left style="thin">
        <color rgb="FF000000"/>
      </left>
      <right/>
      <top style="thin">
        <color theme="2" tint="-0.499984740745262"/>
      </top>
      <bottom/>
      <diagonal/>
    </border>
    <border>
      <left style="thin">
        <color rgb="FF000000"/>
      </left>
      <right/>
      <top style="thin">
        <color rgb="FF000000"/>
      </top>
      <bottom style="double">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278">
    <xf numFmtId="0" fontId="0" fillId="0" borderId="0" xfId="0"/>
    <xf numFmtId="0" fontId="0" fillId="0" borderId="0" xfId="0" applyAlignment="1">
      <alignment vertical="top"/>
    </xf>
    <xf numFmtId="0" fontId="0" fillId="0" borderId="0" xfId="0" applyAlignment="1">
      <alignment vertical="top" wrapText="1"/>
    </xf>
    <xf numFmtId="0" fontId="3" fillId="0" borderId="0" xfId="0" applyFont="1" applyAlignment="1">
      <alignment vertical="top"/>
    </xf>
    <xf numFmtId="0" fontId="3" fillId="0" borderId="0" xfId="0" applyFont="1" applyAlignment="1">
      <alignment vertical="top" wrapText="1"/>
    </xf>
    <xf numFmtId="166" fontId="5" fillId="0" borderId="0" xfId="0" applyNumberFormat="1" applyFont="1" applyAlignment="1">
      <alignment horizontal="right" vertical="top"/>
    </xf>
    <xf numFmtId="167" fontId="6" fillId="0" borderId="0" xfId="1" applyNumberFormat="1" applyFont="1" applyFill="1" applyBorder="1" applyAlignment="1">
      <alignment horizontal="right" vertical="top"/>
    </xf>
    <xf numFmtId="0" fontId="6" fillId="0" borderId="0" xfId="0" applyFont="1" applyAlignment="1">
      <alignment vertical="top" wrapText="1"/>
    </xf>
    <xf numFmtId="167" fontId="8" fillId="0" borderId="0" xfId="1" applyNumberFormat="1" applyFont="1" applyFill="1" applyBorder="1" applyAlignment="1">
      <alignment horizontal="right" vertical="top"/>
    </xf>
    <xf numFmtId="167" fontId="6" fillId="0" borderId="1" xfId="1" applyNumberFormat="1" applyFont="1" applyFill="1" applyBorder="1" applyAlignment="1">
      <alignment horizontal="right" vertical="top"/>
    </xf>
    <xf numFmtId="0" fontId="3" fillId="0" borderId="2" xfId="0" applyFont="1" applyBorder="1" applyAlignment="1">
      <alignment vertical="top" wrapText="1"/>
    </xf>
    <xf numFmtId="0" fontId="0" fillId="0" borderId="0" xfId="0" applyAlignment="1">
      <alignment horizontal="center" vertical="top" wrapText="1"/>
    </xf>
    <xf numFmtId="0" fontId="6" fillId="0" borderId="0" xfId="0" applyFont="1" applyAlignment="1">
      <alignment vertical="top"/>
    </xf>
    <xf numFmtId="3" fontId="0" fillId="0" borderId="0" xfId="0" applyNumberFormat="1" applyAlignment="1">
      <alignment vertical="top"/>
    </xf>
    <xf numFmtId="3" fontId="0" fillId="0" borderId="0" xfId="0" applyNumberFormat="1" applyAlignment="1">
      <alignment horizontal="right" vertical="top"/>
    </xf>
    <xf numFmtId="1" fontId="0" fillId="0" borderId="0" xfId="0" applyNumberFormat="1" applyAlignment="1">
      <alignment vertical="top" wrapText="1"/>
    </xf>
    <xf numFmtId="3" fontId="3" fillId="0" borderId="0" xfId="0" applyNumberFormat="1" applyFont="1" applyAlignment="1">
      <alignment vertical="top" wrapText="1"/>
    </xf>
    <xf numFmtId="3" fontId="0" fillId="0" borderId="0" xfId="0" applyNumberFormat="1" applyAlignment="1">
      <alignment vertical="top" wrapText="1"/>
    </xf>
    <xf numFmtId="3" fontId="6" fillId="0" borderId="0" xfId="0" applyNumberFormat="1" applyFont="1" applyAlignment="1">
      <alignment vertical="top" wrapText="1"/>
    </xf>
    <xf numFmtId="3" fontId="2" fillId="0" borderId="0" xfId="0" applyNumberFormat="1" applyFont="1" applyAlignment="1">
      <alignment vertical="top"/>
    </xf>
    <xf numFmtId="3" fontId="6" fillId="0" borderId="0" xfId="0" applyNumberFormat="1" applyFont="1" applyAlignment="1">
      <alignment vertical="top"/>
    </xf>
    <xf numFmtId="3" fontId="5" fillId="0" borderId="0" xfId="1" applyNumberFormat="1" applyFont="1" applyFill="1" applyBorder="1" applyAlignment="1">
      <alignment horizontal="right" vertical="top"/>
    </xf>
    <xf numFmtId="3" fontId="2" fillId="0" borderId="0" xfId="0" applyNumberFormat="1" applyFont="1" applyAlignment="1">
      <alignment vertical="top" wrapText="1"/>
    </xf>
    <xf numFmtId="0" fontId="0" fillId="0" borderId="0" xfId="0" pivotButton="1" applyAlignment="1">
      <alignment vertical="top" wrapText="1"/>
    </xf>
    <xf numFmtId="0" fontId="0" fillId="0" borderId="0" xfId="0" applyAlignment="1">
      <alignment horizontal="left" vertical="top"/>
    </xf>
    <xf numFmtId="9" fontId="8" fillId="2" borderId="0" xfId="2" applyFont="1" applyFill="1" applyBorder="1" applyAlignment="1">
      <alignment horizontal="left" vertical="top"/>
    </xf>
    <xf numFmtId="9" fontId="6" fillId="0" borderId="0" xfId="2" applyFont="1" applyFill="1" applyBorder="1" applyAlignment="1">
      <alignment horizontal="left" vertical="top"/>
    </xf>
    <xf numFmtId="0" fontId="6" fillId="0" borderId="0" xfId="0" applyFont="1" applyAlignment="1">
      <alignment horizontal="left" vertical="top"/>
    </xf>
    <xf numFmtId="0" fontId="2" fillId="0" borderId="0" xfId="0" applyFont="1" applyAlignment="1">
      <alignment vertical="top" wrapText="1"/>
    </xf>
    <xf numFmtId="0" fontId="9" fillId="0" borderId="0" xfId="0" applyFont="1" applyAlignment="1">
      <alignment vertical="top"/>
    </xf>
    <xf numFmtId="0" fontId="3" fillId="3" borderId="0" xfId="0" applyFont="1" applyFill="1" applyAlignment="1">
      <alignment vertical="top"/>
    </xf>
    <xf numFmtId="0" fontId="3" fillId="3" borderId="0" xfId="0" applyFont="1" applyFill="1" applyAlignment="1">
      <alignment vertical="top" wrapText="1"/>
    </xf>
    <xf numFmtId="0" fontId="0" fillId="3" borderId="0" xfId="0" applyFill="1" applyAlignment="1">
      <alignment vertical="top"/>
    </xf>
    <xf numFmtId="0" fontId="0" fillId="3" borderId="0" xfId="0" applyFill="1" applyAlignment="1">
      <alignment vertical="top" wrapText="1"/>
    </xf>
    <xf numFmtId="9" fontId="0" fillId="0" borderId="0" xfId="2" applyFont="1" applyAlignment="1">
      <alignment vertical="top"/>
    </xf>
    <xf numFmtId="0" fontId="2" fillId="0" borderId="0" xfId="0" applyFont="1" applyAlignment="1">
      <alignment vertical="top"/>
    </xf>
    <xf numFmtId="0" fontId="0" fillId="0" borderId="0" xfId="0" applyAlignment="1">
      <alignment wrapText="1"/>
    </xf>
    <xf numFmtId="0" fontId="0" fillId="0" borderId="0" xfId="0" quotePrefix="1" applyAlignment="1">
      <alignment vertical="top" wrapText="1"/>
    </xf>
    <xf numFmtId="9" fontId="0" fillId="0" borderId="0" xfId="0" applyNumberFormat="1" applyAlignment="1">
      <alignment vertical="top"/>
    </xf>
    <xf numFmtId="3" fontId="3" fillId="3" borderId="0" xfId="0" applyNumberFormat="1" applyFont="1" applyFill="1" applyAlignment="1">
      <alignment vertical="top" wrapText="1"/>
    </xf>
    <xf numFmtId="3" fontId="0" fillId="3" borderId="0" xfId="0" applyNumberFormat="1" applyFill="1" applyAlignment="1">
      <alignment vertical="top" wrapText="1"/>
    </xf>
    <xf numFmtId="0" fontId="3" fillId="0" borderId="0" xfId="0" applyFont="1"/>
    <xf numFmtId="167" fontId="3" fillId="0" borderId="0" xfId="1" applyNumberFormat="1" applyFont="1" applyAlignment="1"/>
    <xf numFmtId="166" fontId="5" fillId="0" borderId="3" xfId="0" applyNumberFormat="1" applyFont="1" applyBorder="1" applyAlignment="1">
      <alignment horizontal="right" vertical="top"/>
    </xf>
    <xf numFmtId="166" fontId="6" fillId="0" borderId="3" xfId="0" applyNumberFormat="1" applyFont="1" applyBorder="1" applyAlignment="1">
      <alignment horizontal="right" vertical="top"/>
    </xf>
    <xf numFmtId="0" fontId="0" fillId="0" borderId="0" xfId="0" quotePrefix="1" applyAlignment="1">
      <alignment horizontal="center" vertical="top" wrapText="1"/>
    </xf>
    <xf numFmtId="166" fontId="0" fillId="0" borderId="0" xfId="0" applyNumberFormat="1" applyAlignment="1">
      <alignment vertical="top"/>
    </xf>
    <xf numFmtId="0" fontId="8" fillId="2" borderId="0" xfId="2" applyNumberFormat="1" applyFont="1" applyFill="1" applyBorder="1" applyAlignment="1">
      <alignment horizontal="left" vertical="top"/>
    </xf>
    <xf numFmtId="167" fontId="3" fillId="0" borderId="0" xfId="1" applyNumberFormat="1" applyFont="1" applyAlignment="1">
      <alignment wrapText="1"/>
    </xf>
    <xf numFmtId="0" fontId="3" fillId="0" borderId="0" xfId="0" applyFont="1" applyAlignment="1">
      <alignment wrapText="1"/>
    </xf>
    <xf numFmtId="0" fontId="11" fillId="0" borderId="0" xfId="0" applyFont="1" applyAlignment="1">
      <alignment horizontal="left" vertical="top"/>
    </xf>
    <xf numFmtId="167" fontId="2" fillId="0" borderId="1" xfId="1" applyNumberFormat="1" applyFont="1" applyFill="1" applyBorder="1" applyAlignment="1">
      <alignment horizontal="right" vertical="top"/>
    </xf>
    <xf numFmtId="167" fontId="10" fillId="2" borderId="1" xfId="1" applyNumberFormat="1" applyFont="1" applyFill="1" applyBorder="1" applyAlignment="1">
      <alignment horizontal="right" vertical="top"/>
    </xf>
    <xf numFmtId="167" fontId="2" fillId="2" borderId="1" xfId="1" applyNumberFormat="1" applyFont="1" applyFill="1" applyBorder="1" applyAlignment="1">
      <alignment horizontal="right" vertical="top"/>
    </xf>
    <xf numFmtId="0" fontId="7" fillId="4" borderId="2" xfId="0" applyFont="1" applyFill="1" applyBorder="1" applyAlignment="1">
      <alignment vertical="top" wrapText="1"/>
    </xf>
    <xf numFmtId="0" fontId="12" fillId="0" borderId="0" xfId="3" applyAlignment="1">
      <alignment vertical="top" wrapText="1"/>
    </xf>
    <xf numFmtId="164" fontId="14" fillId="7" borderId="6" xfId="0" applyNumberFormat="1" applyFont="1" applyFill="1" applyBorder="1" applyAlignment="1">
      <alignment vertical="top"/>
    </xf>
    <xf numFmtId="167" fontId="2" fillId="0" borderId="9" xfId="1" applyNumberFormat="1" applyFont="1" applyFill="1" applyBorder="1" applyAlignment="1">
      <alignment horizontal="right" vertical="top"/>
    </xf>
    <xf numFmtId="167" fontId="6" fillId="0" borderId="9" xfId="1" applyNumberFormat="1" applyFont="1" applyFill="1" applyBorder="1" applyAlignment="1">
      <alignment horizontal="right" vertical="top"/>
    </xf>
    <xf numFmtId="3" fontId="5" fillId="0" borderId="0" xfId="0" applyNumberFormat="1" applyFont="1" applyAlignment="1">
      <alignment vertical="top"/>
    </xf>
    <xf numFmtId="0" fontId="5" fillId="0" borderId="0" xfId="0" applyFont="1" applyAlignment="1">
      <alignment vertical="top" wrapText="1"/>
    </xf>
    <xf numFmtId="4" fontId="5" fillId="0" borderId="0" xfId="1" applyNumberFormat="1" applyFont="1" applyFill="1" applyBorder="1" applyAlignment="1">
      <alignment horizontal="right" vertical="top"/>
    </xf>
    <xf numFmtId="0" fontId="19" fillId="0" borderId="0" xfId="0" applyFont="1"/>
    <xf numFmtId="0" fontId="20" fillId="0" borderId="0" xfId="0" applyFont="1" applyAlignment="1">
      <alignment vertical="top" wrapText="1"/>
    </xf>
    <xf numFmtId="2" fontId="21" fillId="0" borderId="0" xfId="0" applyNumberFormat="1" applyFont="1" applyAlignment="1">
      <alignment vertical="top"/>
    </xf>
    <xf numFmtId="3" fontId="21" fillId="0" borderId="0" xfId="0" applyNumberFormat="1" applyFont="1" applyAlignment="1">
      <alignment vertical="top"/>
    </xf>
    <xf numFmtId="0" fontId="22" fillId="0" borderId="0" xfId="0" applyFont="1"/>
    <xf numFmtId="0" fontId="22" fillId="0" borderId="0" xfId="0" applyFont="1" applyAlignment="1">
      <alignment vertical="top" wrapText="1"/>
    </xf>
    <xf numFmtId="0" fontId="23" fillId="0" borderId="0" xfId="0" applyFont="1" applyAlignment="1">
      <alignment wrapText="1"/>
    </xf>
    <xf numFmtId="0" fontId="24" fillId="0" borderId="0" xfId="0" applyFont="1"/>
    <xf numFmtId="0" fontId="24" fillId="0" borderId="0" xfId="0" applyFont="1" applyAlignment="1">
      <alignment wrapText="1"/>
    </xf>
    <xf numFmtId="167" fontId="6" fillId="0" borderId="12" xfId="1" applyNumberFormat="1" applyFont="1" applyFill="1" applyBorder="1" applyAlignment="1">
      <alignment horizontal="right" vertical="top"/>
    </xf>
    <xf numFmtId="167" fontId="6" fillId="0" borderId="13" xfId="1" applyNumberFormat="1" applyFont="1" applyFill="1" applyBorder="1" applyAlignment="1">
      <alignment horizontal="right" vertical="top"/>
    </xf>
    <xf numFmtId="0" fontId="0" fillId="9" borderId="7" xfId="0" applyFill="1" applyBorder="1" applyAlignment="1">
      <alignment vertical="top"/>
    </xf>
    <xf numFmtId="166" fontId="5" fillId="0" borderId="5" xfId="0" applyNumberFormat="1" applyFont="1" applyBorder="1" applyAlignment="1">
      <alignment horizontal="right" vertical="top"/>
    </xf>
    <xf numFmtId="2" fontId="3" fillId="0" borderId="0" xfId="0" applyNumberFormat="1" applyFont="1" applyAlignment="1">
      <alignment vertical="top"/>
    </xf>
    <xf numFmtId="168" fontId="5" fillId="2" borderId="7" xfId="0" applyNumberFormat="1" applyFont="1" applyFill="1" applyBorder="1" applyAlignment="1">
      <alignment horizontal="right" vertical="top"/>
    </xf>
    <xf numFmtId="168" fontId="7" fillId="2" borderId="7" xfId="0" applyNumberFormat="1" applyFont="1" applyFill="1" applyBorder="1" applyAlignment="1">
      <alignment horizontal="right" vertical="top"/>
    </xf>
    <xf numFmtId="166" fontId="5" fillId="0" borderId="4" xfId="0" applyNumberFormat="1" applyFont="1" applyBorder="1" applyAlignment="1">
      <alignment horizontal="right" vertical="top"/>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right" vertical="top" wrapText="1"/>
    </xf>
    <xf numFmtId="0" fontId="11" fillId="0" borderId="0" xfId="0" applyFont="1" applyAlignment="1">
      <alignment vertical="top" wrapText="1"/>
    </xf>
    <xf numFmtId="0" fontId="26" fillId="0" borderId="0" xfId="0" applyFont="1" applyAlignment="1">
      <alignment horizontal="right" vertical="top" wrapText="1"/>
    </xf>
    <xf numFmtId="0" fontId="26" fillId="0" borderId="2" xfId="0" applyFont="1" applyBorder="1" applyAlignment="1">
      <alignment horizontal="left" vertical="top" wrapText="1"/>
    </xf>
    <xf numFmtId="0" fontId="25" fillId="0" borderId="2" xfId="0" applyFont="1" applyBorder="1" applyAlignment="1">
      <alignment vertical="top" wrapText="1"/>
    </xf>
    <xf numFmtId="0" fontId="28" fillId="0" borderId="0" xfId="0" applyFont="1" applyAlignment="1">
      <alignment vertical="top"/>
    </xf>
    <xf numFmtId="0" fontId="30" fillId="0" borderId="0" xfId="0" applyFont="1" applyAlignment="1">
      <alignment vertical="top"/>
    </xf>
    <xf numFmtId="0" fontId="29" fillId="0" borderId="0" xfId="0" applyFont="1" applyAlignment="1">
      <alignment horizontal="center" vertical="top" wrapText="1"/>
    </xf>
    <xf numFmtId="0" fontId="29" fillId="0" borderId="5" xfId="0" applyFont="1" applyBorder="1" applyAlignment="1">
      <alignment horizontal="center" vertical="center" wrapText="1"/>
    </xf>
    <xf numFmtId="0" fontId="29" fillId="0" borderId="5" xfId="0" applyFont="1" applyBorder="1" applyAlignment="1">
      <alignment horizontal="center" vertical="top" wrapText="1"/>
    </xf>
    <xf numFmtId="0" fontId="31" fillId="0" borderId="5" xfId="0" applyFont="1" applyBorder="1" applyAlignment="1">
      <alignment horizontal="left" vertical="top" wrapText="1"/>
    </xf>
    <xf numFmtId="0" fontId="29" fillId="0" borderId="3" xfId="0" applyFont="1" applyBorder="1" applyAlignment="1">
      <alignment horizontal="center" vertical="top" wrapText="1"/>
    </xf>
    <xf numFmtId="0" fontId="32" fillId="0" borderId="3" xfId="0" applyFont="1" applyBorder="1" applyAlignment="1">
      <alignment horizontal="left" vertical="top" wrapText="1"/>
    </xf>
    <xf numFmtId="0" fontId="31" fillId="0" borderId="3" xfId="0" applyFont="1" applyBorder="1" applyAlignment="1">
      <alignment horizontal="left" vertical="top" wrapText="1"/>
    </xf>
    <xf numFmtId="0" fontId="29" fillId="0" borderId="4" xfId="0" applyFont="1" applyBorder="1" applyAlignment="1">
      <alignment horizontal="center" vertical="top" wrapText="1"/>
    </xf>
    <xf numFmtId="0" fontId="29" fillId="0" borderId="8" xfId="0" applyFont="1" applyBorder="1" applyAlignment="1">
      <alignment horizontal="center" vertical="top" wrapText="1"/>
    </xf>
    <xf numFmtId="0" fontId="31" fillId="0" borderId="4" xfId="0" applyFont="1" applyBorder="1" applyAlignment="1">
      <alignment vertical="top" wrapText="1"/>
    </xf>
    <xf numFmtId="0" fontId="32"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31" fillId="0" borderId="10" xfId="0" applyFont="1" applyBorder="1" applyAlignment="1">
      <alignment horizontal="left" vertical="top" wrapText="1"/>
    </xf>
    <xf numFmtId="0" fontId="32" fillId="0" borderId="4" xfId="0" applyFont="1" applyBorder="1" applyAlignment="1">
      <alignment horizontal="center" vertical="center" wrapText="1"/>
    </xf>
    <xf numFmtId="0" fontId="31" fillId="0" borderId="3" xfId="0" applyFont="1" applyBorder="1" applyAlignment="1">
      <alignment horizontal="center" vertical="top" wrapText="1"/>
    </xf>
    <xf numFmtId="0" fontId="31" fillId="0" borderId="10" xfId="0" applyFont="1" applyBorder="1" applyAlignment="1">
      <alignment horizontal="center" vertical="top" wrapText="1"/>
    </xf>
    <xf numFmtId="0" fontId="31" fillId="0" borderId="3" xfId="0" applyFont="1" applyBorder="1" applyAlignment="1">
      <alignment vertical="top" wrapText="1"/>
    </xf>
    <xf numFmtId="0" fontId="33" fillId="2" borderId="7" xfId="0" applyFont="1" applyFill="1" applyBorder="1" applyAlignment="1">
      <alignment vertical="top"/>
    </xf>
    <xf numFmtId="0" fontId="32" fillId="0" borderId="0" xfId="0" applyFont="1" applyAlignment="1">
      <alignment horizontal="center" vertical="center" wrapText="1"/>
    </xf>
    <xf numFmtId="0" fontId="36" fillId="2" borderId="7" xfId="0" applyFont="1" applyFill="1" applyBorder="1" applyAlignment="1">
      <alignment vertical="top"/>
    </xf>
    <xf numFmtId="0" fontId="32" fillId="0" borderId="3" xfId="0" applyFont="1" applyBorder="1" applyAlignment="1">
      <alignment horizontal="center" vertical="top" wrapText="1"/>
    </xf>
    <xf numFmtId="0" fontId="35" fillId="0" borderId="3" xfId="0" applyFont="1" applyBorder="1" applyAlignment="1">
      <alignment horizontal="left" vertical="top" wrapText="1"/>
    </xf>
    <xf numFmtId="0" fontId="40" fillId="0" borderId="3" xfId="0" applyFont="1" applyBorder="1" applyAlignment="1">
      <alignment horizontal="left" vertical="top" wrapText="1"/>
    </xf>
    <xf numFmtId="0" fontId="29" fillId="0" borderId="4" xfId="0" applyFont="1" applyBorder="1" applyAlignment="1">
      <alignment horizontal="center" vertical="center" wrapText="1"/>
    </xf>
    <xf numFmtId="0" fontId="31" fillId="0" borderId="4" xfId="0" applyFont="1" applyBorder="1" applyAlignment="1">
      <alignment horizontal="center" vertical="top" wrapText="1"/>
    </xf>
    <xf numFmtId="0" fontId="31" fillId="0" borderId="4" xfId="0" applyFont="1" applyBorder="1" applyAlignment="1">
      <alignment horizontal="left" vertical="top" wrapText="1"/>
    </xf>
    <xf numFmtId="0" fontId="30" fillId="7" borderId="6" xfId="0" applyFont="1" applyFill="1" applyBorder="1" applyAlignment="1">
      <alignment vertical="top"/>
    </xf>
    <xf numFmtId="0" fontId="30" fillId="7" borderId="6" xfId="0" applyFont="1" applyFill="1" applyBorder="1" applyAlignment="1">
      <alignment horizontal="center" vertical="top" wrapText="1"/>
    </xf>
    <xf numFmtId="0" fontId="43" fillId="7" borderId="6" xfId="0" applyFont="1" applyFill="1" applyBorder="1" applyAlignment="1">
      <alignment horizontal="right" vertical="top"/>
    </xf>
    <xf numFmtId="0" fontId="29" fillId="0" borderId="0" xfId="0" applyFont="1" applyAlignment="1">
      <alignment vertical="top"/>
    </xf>
    <xf numFmtId="0" fontId="27" fillId="0" borderId="0" xfId="0" applyFont="1" applyAlignment="1">
      <alignment horizontal="right" vertical="top"/>
    </xf>
    <xf numFmtId="169" fontId="0" fillId="0" borderId="0" xfId="0" applyNumberFormat="1" applyAlignment="1">
      <alignment vertical="top"/>
    </xf>
    <xf numFmtId="0" fontId="0" fillId="0" borderId="0" xfId="0" applyAlignment="1">
      <alignment horizontal="right" vertical="top"/>
    </xf>
    <xf numFmtId="170" fontId="0" fillId="0" borderId="0" xfId="0" applyNumberFormat="1" applyAlignment="1">
      <alignment vertical="top"/>
    </xf>
    <xf numFmtId="3" fontId="5" fillId="0" borderId="5" xfId="0" applyNumberFormat="1" applyFont="1" applyBorder="1" applyAlignment="1">
      <alignment horizontal="right" vertical="top"/>
    </xf>
    <xf numFmtId="0" fontId="0" fillId="0" borderId="16" xfId="0" applyBorder="1" applyAlignment="1">
      <alignment vertical="top"/>
    </xf>
    <xf numFmtId="167" fontId="6" fillId="0" borderId="2" xfId="1" applyNumberFormat="1" applyFont="1" applyFill="1" applyBorder="1" applyAlignment="1">
      <alignment horizontal="right" vertical="top"/>
    </xf>
    <xf numFmtId="0" fontId="29" fillId="2" borderId="7" xfId="0" applyFont="1" applyFill="1" applyBorder="1" applyAlignment="1">
      <alignment horizontal="center" vertical="top" wrapText="1"/>
    </xf>
    <xf numFmtId="0" fontId="29" fillId="2" borderId="7" xfId="0" applyFont="1" applyFill="1" applyBorder="1" applyAlignment="1">
      <alignment vertical="top"/>
    </xf>
    <xf numFmtId="166" fontId="0" fillId="2" borderId="7" xfId="0" applyNumberFormat="1" applyFill="1" applyBorder="1" applyAlignment="1">
      <alignment vertical="top"/>
    </xf>
    <xf numFmtId="169" fontId="3" fillId="2" borderId="7" xfId="0" applyNumberFormat="1" applyFont="1" applyFill="1" applyBorder="1" applyAlignment="1">
      <alignment vertical="top"/>
    </xf>
    <xf numFmtId="0" fontId="0" fillId="2" borderId="7" xfId="0" applyFill="1" applyBorder="1" applyAlignment="1">
      <alignment vertical="top"/>
    </xf>
    <xf numFmtId="167" fontId="8" fillId="8" borderId="7" xfId="1" applyNumberFormat="1" applyFont="1" applyFill="1" applyBorder="1" applyAlignment="1">
      <alignment horizontal="right" vertical="top"/>
    </xf>
    <xf numFmtId="167" fontId="8" fillId="8" borderId="17" xfId="1" applyNumberFormat="1" applyFont="1" applyFill="1" applyBorder="1" applyAlignment="1">
      <alignment horizontal="right" vertical="top"/>
    </xf>
    <xf numFmtId="167" fontId="8" fillId="8" borderId="18" xfId="1" applyNumberFormat="1" applyFont="1" applyFill="1" applyBorder="1" applyAlignment="1">
      <alignment horizontal="right" vertical="top"/>
    </xf>
    <xf numFmtId="0" fontId="11" fillId="0" borderId="16" xfId="0" applyFont="1" applyBorder="1" applyAlignment="1">
      <alignment horizontal="right" vertical="top" wrapText="1"/>
    </xf>
    <xf numFmtId="167" fontId="6" fillId="0" borderId="11" xfId="1" applyNumberFormat="1" applyFont="1" applyFill="1" applyBorder="1" applyAlignment="1">
      <alignment horizontal="right" vertical="top"/>
    </xf>
    <xf numFmtId="166" fontId="5" fillId="2" borderId="7" xfId="0" applyNumberFormat="1" applyFont="1" applyFill="1" applyBorder="1" applyAlignment="1">
      <alignment horizontal="right" vertical="top"/>
    </xf>
    <xf numFmtId="169" fontId="7" fillId="2" borderId="7" xfId="0" applyNumberFormat="1" applyFont="1" applyFill="1" applyBorder="1" applyAlignment="1">
      <alignment horizontal="right" vertical="top"/>
    </xf>
    <xf numFmtId="0" fontId="0" fillId="9" borderId="15" xfId="0" applyFill="1" applyBorder="1" applyAlignment="1">
      <alignment vertical="top"/>
    </xf>
    <xf numFmtId="3" fontId="5" fillId="0" borderId="0" xfId="0" applyNumberFormat="1" applyFont="1" applyAlignment="1">
      <alignment horizontal="right" vertical="top"/>
    </xf>
    <xf numFmtId="0" fontId="32" fillId="0" borderId="4" xfId="0" applyFont="1" applyBorder="1" applyAlignment="1">
      <alignment horizontal="left" vertical="top" wrapText="1"/>
    </xf>
    <xf numFmtId="166" fontId="7" fillId="2" borderId="7" xfId="0" applyNumberFormat="1" applyFont="1" applyFill="1" applyBorder="1" applyAlignment="1">
      <alignment horizontal="right" vertical="top"/>
    </xf>
    <xf numFmtId="1" fontId="8" fillId="8" borderId="7" xfId="1" applyNumberFormat="1" applyFont="1" applyFill="1" applyBorder="1" applyAlignment="1">
      <alignment horizontal="right" vertical="top"/>
    </xf>
    <xf numFmtId="0" fontId="32" fillId="0" borderId="0" xfId="0" applyFont="1" applyAlignment="1">
      <alignment vertical="top"/>
    </xf>
    <xf numFmtId="0" fontId="32" fillId="0" borderId="0" xfId="0" applyFont="1" applyAlignment="1">
      <alignment horizontal="left" vertical="top" wrapText="1"/>
    </xf>
    <xf numFmtId="0" fontId="32" fillId="0" borderId="0" xfId="0" quotePrefix="1" applyFont="1" applyAlignment="1">
      <alignment horizontal="center" vertical="top" wrapText="1"/>
    </xf>
    <xf numFmtId="0" fontId="39" fillId="0" borderId="4" xfId="0" applyFont="1" applyBorder="1" applyAlignment="1">
      <alignment horizontal="left" vertical="top" wrapText="1"/>
    </xf>
    <xf numFmtId="9" fontId="3" fillId="0" borderId="0" xfId="1" applyNumberFormat="1" applyFont="1" applyAlignment="1"/>
    <xf numFmtId="9" fontId="0" fillId="0" borderId="0" xfId="0" applyNumberFormat="1"/>
    <xf numFmtId="0" fontId="28" fillId="2" borderId="7" xfId="0" applyFont="1" applyFill="1" applyBorder="1" applyAlignment="1">
      <alignment vertical="top"/>
    </xf>
    <xf numFmtId="0" fontId="1" fillId="0" borderId="0" xfId="0" applyFont="1" applyAlignment="1">
      <alignment vertical="top" wrapText="1"/>
    </xf>
    <xf numFmtId="9" fontId="0" fillId="0" borderId="0" xfId="0" applyNumberFormat="1" applyAlignment="1">
      <alignment vertical="top" wrapText="1"/>
    </xf>
    <xf numFmtId="49" fontId="0" fillId="0" borderId="0" xfId="0" applyNumberFormat="1" applyAlignment="1">
      <alignment vertical="top" wrapText="1"/>
    </xf>
    <xf numFmtId="49" fontId="2" fillId="0" borderId="0" xfId="0" applyNumberFormat="1" applyFont="1" applyAlignment="1">
      <alignment vertical="top" wrapText="1"/>
    </xf>
    <xf numFmtId="49" fontId="5" fillId="0" borderId="0" xfId="0" applyNumberFormat="1" applyFont="1" applyAlignment="1">
      <alignment vertical="top" wrapText="1"/>
    </xf>
    <xf numFmtId="49" fontId="1" fillId="0" borderId="0" xfId="0" applyNumberFormat="1" applyFont="1" applyAlignment="1">
      <alignment vertical="top" wrapText="1"/>
    </xf>
    <xf numFmtId="49" fontId="6" fillId="0" borderId="0" xfId="0" applyNumberFormat="1" applyFont="1" applyAlignment="1">
      <alignment vertical="top" wrapText="1"/>
    </xf>
    <xf numFmtId="0" fontId="0" fillId="5" borderId="0" xfId="0" applyFill="1" applyAlignment="1">
      <alignment vertical="top"/>
    </xf>
    <xf numFmtId="3" fontId="5" fillId="0" borderId="0" xfId="0" applyNumberFormat="1" applyFont="1" applyAlignment="1">
      <alignment vertical="top" wrapText="1"/>
    </xf>
    <xf numFmtId="0" fontId="9" fillId="0" borderId="0" xfId="0" applyFont="1" applyAlignment="1">
      <alignment vertical="center"/>
    </xf>
    <xf numFmtId="0" fontId="0" fillId="10" borderId="0" xfId="0" applyFill="1" applyAlignment="1">
      <alignment horizontal="left"/>
    </xf>
    <xf numFmtId="0" fontId="45" fillId="0" borderId="0" xfId="0" applyFont="1" applyAlignment="1">
      <alignment horizontal="left"/>
    </xf>
    <xf numFmtId="9" fontId="2" fillId="0" borderId="0" xfId="0" applyNumberFormat="1" applyFont="1" applyAlignment="1">
      <alignment vertical="top" wrapText="1"/>
    </xf>
    <xf numFmtId="0" fontId="3" fillId="9" borderId="19" xfId="0" applyFont="1" applyFill="1" applyBorder="1" applyAlignment="1">
      <alignment horizontal="left" vertical="top" wrapText="1"/>
    </xf>
    <xf numFmtId="0" fontId="3" fillId="9" borderId="19" xfId="0" applyFont="1" applyFill="1" applyBorder="1" applyAlignment="1">
      <alignment vertical="top" wrapText="1"/>
    </xf>
    <xf numFmtId="0" fontId="0" fillId="0" borderId="19" xfId="0" applyBorder="1" applyAlignment="1">
      <alignment vertical="top" wrapText="1"/>
    </xf>
    <xf numFmtId="0" fontId="5" fillId="0" borderId="19" xfId="0" applyFont="1" applyBorder="1" applyAlignment="1">
      <alignment vertical="top" wrapText="1"/>
    </xf>
    <xf numFmtId="0" fontId="1" fillId="0" borderId="19" xfId="0" applyFont="1" applyBorder="1" applyAlignment="1">
      <alignment vertical="top" wrapText="1"/>
    </xf>
    <xf numFmtId="0" fontId="0" fillId="0" borderId="19" xfId="0" applyBorder="1" applyAlignment="1">
      <alignment horizontal="left" vertical="top" wrapText="1"/>
    </xf>
    <xf numFmtId="3" fontId="0" fillId="0" borderId="19" xfId="0" applyNumberFormat="1" applyBorder="1" applyAlignment="1">
      <alignment vertical="top" wrapText="1"/>
    </xf>
    <xf numFmtId="3" fontId="5" fillId="0" borderId="19" xfId="0" applyNumberFormat="1" applyFont="1" applyBorder="1" applyAlignment="1">
      <alignment vertical="top" wrapText="1"/>
    </xf>
    <xf numFmtId="3" fontId="2" fillId="0" borderId="19" xfId="0" applyNumberFormat="1" applyFont="1" applyBorder="1" applyAlignment="1">
      <alignment vertical="top" wrapText="1"/>
    </xf>
    <xf numFmtId="0" fontId="0" fillId="10" borderId="0" xfId="0" applyFill="1"/>
    <xf numFmtId="9" fontId="47" fillId="0" borderId="0" xfId="2" applyFont="1" applyAlignment="1">
      <alignment vertical="top"/>
    </xf>
    <xf numFmtId="9" fontId="0" fillId="3" borderId="0" xfId="0" applyNumberFormat="1" applyFill="1" applyAlignment="1">
      <alignment vertical="top" wrapText="1"/>
    </xf>
    <xf numFmtId="49" fontId="19" fillId="0" borderId="0" xfId="0" applyNumberFormat="1" applyFont="1" applyAlignment="1">
      <alignment vertical="top" wrapText="1"/>
    </xf>
    <xf numFmtId="0" fontId="7" fillId="9" borderId="19" xfId="0" applyFont="1" applyFill="1" applyBorder="1" applyAlignment="1">
      <alignment vertical="top" wrapText="1"/>
    </xf>
    <xf numFmtId="0" fontId="18" fillId="0" borderId="0" xfId="0" applyFont="1" applyAlignment="1">
      <alignment vertical="top" wrapText="1"/>
    </xf>
    <xf numFmtId="0" fontId="5" fillId="0" borderId="0" xfId="0" quotePrefix="1" applyFont="1" applyAlignment="1">
      <alignment horizontal="center" vertical="top" wrapText="1"/>
    </xf>
    <xf numFmtId="1" fontId="2" fillId="0" borderId="0" xfId="0" applyNumberFormat="1" applyFont="1" applyAlignment="1">
      <alignment vertical="top" wrapText="1"/>
    </xf>
    <xf numFmtId="43" fontId="0" fillId="0" borderId="0" xfId="0" applyNumberFormat="1"/>
    <xf numFmtId="0" fontId="5" fillId="4" borderId="0" xfId="0" applyFont="1" applyFill="1" applyAlignment="1">
      <alignment vertical="top" wrapText="1"/>
    </xf>
    <xf numFmtId="0" fontId="5" fillId="6" borderId="0" xfId="0" applyFont="1" applyFill="1" applyAlignment="1">
      <alignment vertical="top" wrapText="1"/>
    </xf>
    <xf numFmtId="9" fontId="5" fillId="6" borderId="0" xfId="0" applyNumberFormat="1" applyFont="1" applyFill="1" applyAlignment="1">
      <alignment vertical="top" wrapText="1"/>
    </xf>
    <xf numFmtId="0" fontId="7" fillId="4" borderId="0" xfId="0" applyFont="1" applyFill="1" applyAlignment="1">
      <alignment vertical="top" wrapText="1"/>
    </xf>
    <xf numFmtId="0" fontId="0" fillId="11" borderId="0" xfId="0" applyFill="1"/>
    <xf numFmtId="0" fontId="0" fillId="11" borderId="0" xfId="0" applyFill="1" applyAlignment="1">
      <alignment vertical="top"/>
    </xf>
    <xf numFmtId="171" fontId="0" fillId="0" borderId="0" xfId="0" applyNumberFormat="1"/>
    <xf numFmtId="0" fontId="0" fillId="4" borderId="0" xfId="0" applyFill="1"/>
    <xf numFmtId="0" fontId="48" fillId="0" borderId="19" xfId="0" applyFont="1" applyBorder="1" applyAlignment="1">
      <alignment horizontal="left" vertical="top" wrapText="1"/>
    </xf>
    <xf numFmtId="0" fontId="48" fillId="0" borderId="19" xfId="0" applyFont="1" applyBorder="1" applyAlignment="1">
      <alignment vertical="top" wrapText="1"/>
    </xf>
    <xf numFmtId="3" fontId="48" fillId="0" borderId="19" xfId="0" applyNumberFormat="1" applyFont="1" applyBorder="1" applyAlignment="1">
      <alignment vertical="top" wrapText="1"/>
    </xf>
    <xf numFmtId="0" fontId="48" fillId="0" borderId="0" xfId="0" applyFont="1" applyAlignment="1">
      <alignment vertical="top"/>
    </xf>
    <xf numFmtId="14" fontId="48" fillId="0" borderId="19" xfId="0" applyNumberFormat="1" applyFont="1" applyBorder="1" applyAlignment="1">
      <alignment vertical="top" wrapText="1"/>
    </xf>
    <xf numFmtId="0" fontId="0" fillId="10" borderId="0" xfId="0" applyFill="1" applyAlignment="1">
      <alignment wrapText="1"/>
    </xf>
    <xf numFmtId="0" fontId="45" fillId="0" borderId="0" xfId="0" applyFont="1" applyAlignment="1">
      <alignment horizontal="left" wrapText="1"/>
    </xf>
    <xf numFmtId="4" fontId="2" fillId="0" borderId="0" xfId="0" applyNumberFormat="1" applyFont="1" applyAlignment="1">
      <alignment vertical="top"/>
    </xf>
    <xf numFmtId="4" fontId="0" fillId="0" borderId="0" xfId="0" applyNumberFormat="1" applyAlignment="1">
      <alignment vertical="top"/>
    </xf>
    <xf numFmtId="4" fontId="6" fillId="0" borderId="0" xfId="0" applyNumberFormat="1" applyFont="1" applyAlignment="1">
      <alignment vertical="top"/>
    </xf>
    <xf numFmtId="4" fontId="5" fillId="0" borderId="0" xfId="0" applyNumberFormat="1" applyFont="1" applyAlignment="1">
      <alignment vertical="top"/>
    </xf>
    <xf numFmtId="1" fontId="0" fillId="3" borderId="0" xfId="0" applyNumberFormat="1" applyFill="1" applyAlignment="1">
      <alignment vertical="top" wrapText="1"/>
    </xf>
    <xf numFmtId="3" fontId="21" fillId="0" borderId="0" xfId="0" applyNumberFormat="1" applyFont="1" applyAlignment="1">
      <alignment vertical="top" wrapText="1"/>
    </xf>
    <xf numFmtId="0" fontId="8" fillId="4" borderId="0" xfId="0" applyFont="1" applyFill="1" applyAlignment="1">
      <alignment vertical="top" wrapText="1"/>
    </xf>
    <xf numFmtId="0" fontId="49" fillId="2" borderId="7" xfId="0" applyFont="1" applyFill="1" applyBorder="1" applyAlignment="1">
      <alignment vertical="top"/>
    </xf>
    <xf numFmtId="0" fontId="40" fillId="2" borderId="7" xfId="0" applyFont="1" applyFill="1" applyBorder="1" applyAlignment="1">
      <alignment horizontal="center" vertical="top" wrapText="1"/>
    </xf>
    <xf numFmtId="0" fontId="40" fillId="2" borderId="7" xfId="0" applyFont="1" applyFill="1" applyBorder="1" applyAlignment="1">
      <alignment vertical="top"/>
    </xf>
    <xf numFmtId="166" fontId="6" fillId="2" borderId="7" xfId="0" applyNumberFormat="1" applyFont="1" applyFill="1" applyBorder="1" applyAlignment="1">
      <alignment vertical="top"/>
    </xf>
    <xf numFmtId="169" fontId="8" fillId="2" borderId="7" xfId="0" applyNumberFormat="1" applyFont="1" applyFill="1" applyBorder="1" applyAlignment="1">
      <alignment vertical="top"/>
    </xf>
    <xf numFmtId="0" fontId="6" fillId="2" borderId="7" xfId="0" applyFont="1" applyFill="1" applyBorder="1" applyAlignment="1">
      <alignment vertical="top"/>
    </xf>
    <xf numFmtId="0" fontId="49" fillId="0" borderId="0" xfId="0" applyFont="1" applyAlignment="1">
      <alignment vertical="top"/>
    </xf>
    <xf numFmtId="0" fontId="40" fillId="0" borderId="5" xfId="0" applyFont="1" applyBorder="1" applyAlignment="1">
      <alignment horizontal="center" vertical="center" wrapText="1"/>
    </xf>
    <xf numFmtId="0" fontId="40" fillId="0" borderId="5" xfId="0" applyFont="1" applyBorder="1" applyAlignment="1">
      <alignment horizontal="center" vertical="top" wrapText="1"/>
    </xf>
    <xf numFmtId="0" fontId="40" fillId="0" borderId="5" xfId="0" applyFont="1" applyBorder="1" applyAlignment="1">
      <alignment horizontal="left" vertical="top" wrapText="1"/>
    </xf>
    <xf numFmtId="166" fontId="6" fillId="0" borderId="5" xfId="0" applyNumberFormat="1" applyFont="1" applyBorder="1" applyAlignment="1">
      <alignment horizontal="right" vertical="top"/>
    </xf>
    <xf numFmtId="3" fontId="6" fillId="0" borderId="5" xfId="0" applyNumberFormat="1" applyFont="1" applyBorder="1" applyAlignment="1">
      <alignment horizontal="right" vertical="top"/>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8" xfId="0" applyFont="1" applyBorder="1" applyAlignment="1">
      <alignment horizontal="center" vertical="top" wrapText="1"/>
    </xf>
    <xf numFmtId="0" fontId="40" fillId="0" borderId="4" xfId="0" applyFont="1" applyBorder="1" applyAlignment="1">
      <alignment vertical="top" wrapText="1"/>
    </xf>
    <xf numFmtId="0" fontId="6" fillId="9" borderId="7" xfId="0" applyFont="1" applyFill="1" applyBorder="1" applyAlignment="1">
      <alignment vertical="top"/>
    </xf>
    <xf numFmtId="0" fontId="40" fillId="0" borderId="3" xfId="0" applyFont="1" applyBorder="1" applyAlignment="1">
      <alignment horizontal="center" vertical="center" wrapText="1"/>
    </xf>
    <xf numFmtId="0" fontId="40" fillId="0" borderId="10" xfId="0" applyFont="1" applyBorder="1" applyAlignment="1">
      <alignment horizontal="left" vertical="top" wrapText="1"/>
    </xf>
    <xf numFmtId="0" fontId="40" fillId="0" borderId="4" xfId="0" applyFont="1" applyBorder="1" applyAlignment="1">
      <alignment horizontal="center" vertical="center" wrapText="1"/>
    </xf>
    <xf numFmtId="0" fontId="40" fillId="0" borderId="10" xfId="0" applyFont="1" applyBorder="1" applyAlignment="1">
      <alignment horizontal="center" vertical="top" wrapText="1"/>
    </xf>
    <xf numFmtId="0" fontId="40" fillId="0" borderId="3" xfId="0" applyFont="1" applyBorder="1" applyAlignment="1">
      <alignment vertical="top" wrapText="1"/>
    </xf>
    <xf numFmtId="0" fontId="40" fillId="0" borderId="0" xfId="0" applyFont="1" applyAlignment="1">
      <alignment horizontal="center" vertical="center" wrapText="1"/>
    </xf>
    <xf numFmtId="166" fontId="6" fillId="0" borderId="4" xfId="0" applyNumberFormat="1" applyFont="1" applyBorder="1" applyAlignment="1">
      <alignment horizontal="right" vertical="top"/>
    </xf>
    <xf numFmtId="0" fontId="50" fillId="2" borderId="7" xfId="0" applyFont="1" applyFill="1" applyBorder="1" applyAlignment="1">
      <alignment vertical="top"/>
    </xf>
    <xf numFmtId="166" fontId="6" fillId="2" borderId="7" xfId="0" applyNumberFormat="1" applyFont="1" applyFill="1" applyBorder="1" applyAlignment="1">
      <alignment horizontal="right" vertical="top"/>
    </xf>
    <xf numFmtId="169" fontId="8" fillId="2" borderId="7" xfId="0" applyNumberFormat="1" applyFont="1" applyFill="1" applyBorder="1" applyAlignment="1">
      <alignment horizontal="right" vertical="top"/>
    </xf>
    <xf numFmtId="168" fontId="6" fillId="2" borderId="7" xfId="0" applyNumberFormat="1" applyFont="1" applyFill="1" applyBorder="1" applyAlignment="1">
      <alignment horizontal="right" vertical="top"/>
    </xf>
    <xf numFmtId="0" fontId="6" fillId="9" borderId="15" xfId="0" applyFont="1" applyFill="1" applyBorder="1" applyAlignment="1">
      <alignment vertical="top"/>
    </xf>
    <xf numFmtId="0" fontId="52" fillId="0" borderId="4" xfId="0" applyFont="1" applyBorder="1" applyAlignment="1">
      <alignment horizontal="left" vertical="top" wrapText="1"/>
    </xf>
    <xf numFmtId="3" fontId="6" fillId="0" borderId="0" xfId="0" applyNumberFormat="1" applyFont="1" applyAlignment="1">
      <alignment horizontal="right" vertical="top"/>
    </xf>
    <xf numFmtId="0" fontId="40" fillId="0" borderId="4" xfId="0" applyFont="1" applyBorder="1" applyAlignment="1">
      <alignment horizontal="left" vertical="top" wrapText="1"/>
    </xf>
    <xf numFmtId="0" fontId="52" fillId="0" borderId="3" xfId="0" applyFont="1" applyBorder="1" applyAlignment="1">
      <alignment horizontal="left" vertical="top" wrapText="1"/>
    </xf>
    <xf numFmtId="166" fontId="8" fillId="2" borderId="7" xfId="0" applyNumberFormat="1" applyFont="1" applyFill="1" applyBorder="1" applyAlignment="1">
      <alignment horizontal="right" vertical="top"/>
    </xf>
    <xf numFmtId="168" fontId="8" fillId="2" borderId="7" xfId="0" applyNumberFormat="1" applyFont="1" applyFill="1" applyBorder="1" applyAlignment="1">
      <alignment horizontal="right" vertical="top"/>
    </xf>
    <xf numFmtId="3" fontId="48" fillId="0" borderId="0" xfId="0" applyNumberFormat="1" applyFont="1" applyAlignment="1">
      <alignment vertical="top"/>
    </xf>
    <xf numFmtId="167" fontId="48" fillId="0" borderId="1" xfId="1" applyNumberFormat="1" applyFont="1" applyFill="1" applyBorder="1" applyAlignment="1">
      <alignment horizontal="right" vertical="top"/>
    </xf>
    <xf numFmtId="167" fontId="48" fillId="0" borderId="12" xfId="1" applyNumberFormat="1" applyFont="1" applyFill="1" applyBorder="1" applyAlignment="1">
      <alignment horizontal="right" vertical="top"/>
    </xf>
    <xf numFmtId="167" fontId="48" fillId="0" borderId="9" xfId="1" applyNumberFormat="1" applyFont="1" applyFill="1" applyBorder="1" applyAlignment="1">
      <alignment horizontal="right" vertical="top"/>
    </xf>
    <xf numFmtId="0" fontId="54" fillId="0" borderId="0" xfId="0" applyFont="1" applyAlignment="1">
      <alignment vertical="top"/>
    </xf>
    <xf numFmtId="167" fontId="48" fillId="0" borderId="2" xfId="1" applyNumberFormat="1" applyFont="1" applyFill="1" applyBorder="1" applyAlignment="1">
      <alignment horizontal="right" vertical="top"/>
    </xf>
    <xf numFmtId="3" fontId="0" fillId="0" borderId="0" xfId="0" quotePrefix="1" applyNumberFormat="1" applyAlignment="1">
      <alignment vertical="top" wrapText="1"/>
    </xf>
    <xf numFmtId="0" fontId="3" fillId="0" borderId="19" xfId="0" applyFont="1" applyBorder="1" applyAlignment="1">
      <alignment horizontal="left" vertical="top" wrapText="1"/>
    </xf>
    <xf numFmtId="0" fontId="3" fillId="0" borderId="19" xfId="0" applyFont="1" applyBorder="1" applyAlignment="1">
      <alignment vertical="top" wrapText="1"/>
    </xf>
    <xf numFmtId="0" fontId="7" fillId="0" borderId="19" xfId="0" applyFont="1" applyBorder="1" applyAlignment="1">
      <alignment vertical="top" wrapText="1"/>
    </xf>
    <xf numFmtId="3" fontId="14" fillId="7" borderId="6" xfId="0" applyNumberFormat="1" applyFont="1" applyFill="1" applyBorder="1" applyAlignment="1">
      <alignment vertical="top"/>
    </xf>
    <xf numFmtId="3" fontId="13" fillId="7" borderId="6" xfId="0" applyNumberFormat="1" applyFont="1" applyFill="1" applyBorder="1" applyAlignment="1">
      <alignment vertical="top"/>
    </xf>
    <xf numFmtId="3" fontId="13" fillId="7" borderId="6" xfId="1" applyNumberFormat="1" applyFont="1" applyFill="1" applyBorder="1" applyAlignment="1">
      <alignment horizontal="left" vertical="top"/>
    </xf>
    <xf numFmtId="3" fontId="14" fillId="7" borderId="14" xfId="0" applyNumberFormat="1" applyFont="1" applyFill="1" applyBorder="1" applyAlignment="1">
      <alignment vertical="top"/>
    </xf>
    <xf numFmtId="0" fontId="0" fillId="5" borderId="0" xfId="0" applyFill="1" applyAlignment="1">
      <alignment vertical="top" wrapText="1"/>
    </xf>
    <xf numFmtId="0" fontId="11" fillId="0" borderId="0" xfId="0" applyFont="1" applyAlignment="1">
      <alignment horizontal="left" vertical="top" wrapText="1"/>
    </xf>
    <xf numFmtId="4" fontId="0" fillId="0" borderId="0" xfId="0" applyNumberFormat="1" applyAlignment="1">
      <alignment vertical="top" wrapText="1"/>
    </xf>
    <xf numFmtId="43" fontId="56" fillId="0" borderId="0" xfId="0" applyNumberFormat="1" applyFont="1"/>
    <xf numFmtId="4" fontId="56" fillId="0" borderId="0" xfId="0" applyNumberFormat="1" applyFont="1"/>
    <xf numFmtId="4" fontId="55" fillId="0" borderId="0" xfId="0" applyNumberFormat="1" applyFont="1"/>
    <xf numFmtId="0" fontId="9" fillId="10" borderId="0" xfId="0" applyFont="1" applyFill="1" applyAlignment="1">
      <alignment horizontal="center" vertical="center"/>
    </xf>
    <xf numFmtId="0" fontId="40" fillId="9" borderId="15" xfId="0" applyFont="1" applyFill="1" applyBorder="1" applyAlignment="1">
      <alignment horizontal="left" vertical="top" wrapText="1"/>
    </xf>
    <xf numFmtId="0" fontId="40" fillId="9" borderId="7" xfId="0" applyFont="1" applyFill="1" applyBorder="1" applyAlignment="1">
      <alignment horizontal="left" vertical="top"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top" wrapText="1"/>
    </xf>
    <xf numFmtId="0" fontId="40" fillId="0" borderId="5" xfId="0" applyFont="1" applyBorder="1" applyAlignment="1">
      <alignment horizontal="center" vertical="top" wrapText="1"/>
    </xf>
    <xf numFmtId="0" fontId="50" fillId="2" borderId="7" xfId="0" applyFont="1" applyFill="1" applyBorder="1" applyAlignment="1">
      <alignment horizontal="left" vertical="top" wrapText="1"/>
    </xf>
    <xf numFmtId="0" fontId="49" fillId="2" borderId="7" xfId="0" applyFont="1" applyFill="1" applyBorder="1" applyAlignment="1">
      <alignment horizontal="left" vertical="top"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29" fillId="9" borderId="15" xfId="0" applyFont="1" applyFill="1" applyBorder="1" applyAlignment="1">
      <alignment horizontal="left" vertical="top" wrapText="1"/>
    </xf>
    <xf numFmtId="0" fontId="29" fillId="9" borderId="7" xfId="0" applyFont="1" applyFill="1" applyBorder="1" applyAlignment="1">
      <alignment horizontal="left" vertical="top" wrapText="1"/>
    </xf>
    <xf numFmtId="0" fontId="29" fillId="0" borderId="0" xfId="0" applyFont="1" applyAlignment="1">
      <alignment horizontal="center" vertical="top" wrapText="1"/>
    </xf>
    <xf numFmtId="0" fontId="29" fillId="0" borderId="5" xfId="0" applyFont="1" applyBorder="1" applyAlignment="1">
      <alignment horizontal="center" vertical="top" wrapText="1"/>
    </xf>
    <xf numFmtId="0" fontId="36" fillId="2" borderId="7" xfId="0" applyFont="1" applyFill="1" applyBorder="1" applyAlignment="1">
      <alignment horizontal="left" vertical="top" wrapText="1"/>
    </xf>
    <xf numFmtId="0" fontId="27" fillId="2" borderId="7" xfId="0" applyFont="1" applyFill="1" applyBorder="1" applyAlignment="1">
      <alignment horizontal="left" vertical="top"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382">
    <dxf>
      <fill>
        <patternFill>
          <bgColor theme="9"/>
        </patternFill>
      </fill>
    </dxf>
    <dxf>
      <font>
        <color theme="0"/>
      </font>
      <fill>
        <patternFill>
          <bgColor theme="1"/>
        </patternFill>
      </fill>
    </dxf>
    <dxf>
      <fill>
        <patternFill>
          <bgColor rgb="FFFF0000"/>
        </patternFill>
      </fill>
    </dxf>
    <dxf>
      <numFmt numFmtId="3" formatCode="#,##0"/>
      <alignment horizontal="general" vertical="top" textRotation="0" wrapText="1" indent="0" justifyLastLine="0" shrinkToFit="0" readingOrder="0"/>
    </dxf>
    <dxf>
      <font>
        <b val="0"/>
        <i val="0"/>
        <strike val="0"/>
        <condense val="0"/>
        <extend val="0"/>
        <outline val="0"/>
        <shadow val="0"/>
        <u val="none"/>
        <vertAlign val="baseline"/>
        <sz val="11"/>
        <color theme="2"/>
        <name val="Aptos Narrow"/>
        <family val="2"/>
        <scheme val="minor"/>
      </font>
      <numFmt numFmtId="3" formatCode="#,##0"/>
      <alignment horizontal="general" vertical="top" textRotation="0" wrapText="1" indent="0" justifyLastLine="0" shrinkToFit="0" readingOrder="0"/>
    </dxf>
    <dxf>
      <font>
        <color theme="2"/>
      </font>
      <numFmt numFmtId="2" formatCode="0.00"/>
      <alignment horizontal="general" vertical="top" textRotation="0" wrapText="0" indent="0" justifyLastLine="0" shrinkToFit="0" readingOrder="0"/>
    </dxf>
    <dxf>
      <font>
        <color theme="2"/>
      </font>
      <numFmt numFmtId="2" formatCode="0.00"/>
      <alignment horizontal="general" vertical="top" textRotation="0" wrapText="0" indent="0" justifyLastLine="0" shrinkToFit="0" readingOrder="0"/>
    </dxf>
    <dxf>
      <numFmt numFmtId="13" formatCode="0%"/>
      <alignment horizontal="general" vertical="top" textRotation="0" wrapText="0" indent="0" justifyLastLine="0" shrinkToFit="0" readingOrder="0"/>
    </dxf>
    <dxf>
      <numFmt numFmtId="13" formatCode="0%"/>
      <alignment horizontal="general" vertical="top" textRotation="0" wrapText="0" indent="0" justifyLastLine="0" shrinkToFit="0" readingOrder="0"/>
    </dxf>
    <dxf>
      <numFmt numFmtId="3" formatCode="#,##0"/>
      <alignment horizontal="general" vertical="top" textRotation="0" wrapText="1" indent="0" justifyLastLine="0" shrinkToFit="0" readingOrder="0"/>
    </dxf>
    <dxf>
      <numFmt numFmtId="3" formatCode="#,##0"/>
      <fill>
        <patternFill patternType="solid">
          <fgColor indexed="64"/>
          <bgColor theme="2" tint="-0.249977111117893"/>
        </patternFill>
      </fill>
      <alignment horizontal="general" vertical="top" textRotation="0" wrapText="1" indent="0" justifyLastLine="0" shrinkToFit="0" readingOrder="0"/>
    </dxf>
    <dxf>
      <numFmt numFmtId="1" formatCode="0"/>
      <fill>
        <patternFill patternType="solid">
          <fgColor indexed="64"/>
          <bgColor theme="2" tint="-0.249977111117893"/>
        </patternFill>
      </fill>
      <alignment horizontal="general" vertical="top" textRotation="0" wrapText="1" indent="0" justifyLastLine="0" shrinkToFit="0" readingOrder="0"/>
    </dxf>
    <dxf>
      <numFmt numFmtId="1" formatCode="0"/>
      <fill>
        <patternFill patternType="solid">
          <fgColor indexed="64"/>
          <bgColor theme="2" tint="-0.249977111117893"/>
        </patternFill>
      </fill>
      <alignment horizontal="general" vertical="top" textRotation="0" wrapText="1" indent="0" justifyLastLine="0" shrinkToFit="0" readingOrder="0"/>
    </dxf>
    <dxf>
      <numFmt numFmtId="13" formatCode="0%"/>
      <alignment horizontal="general" vertical="top" textRotation="0" wrapText="1" indent="0" justifyLastLine="0" shrinkToFit="0" readingOrder="0"/>
    </dxf>
    <dxf>
      <numFmt numFmtId="13" formatCode="0%"/>
      <alignment horizontal="general" vertical="top" textRotation="0" wrapText="1" indent="0" justifyLastLine="0" shrinkToFit="0" readingOrder="0"/>
    </dxf>
    <dxf>
      <numFmt numFmtId="13" formatCode="0%"/>
      <alignment horizontal="general" vertical="top" textRotation="0" wrapText="1" indent="0" justifyLastLine="0" shrinkToFit="0" readingOrder="0"/>
    </dxf>
    <dxf>
      <numFmt numFmtId="13" formatCode="0%"/>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3" formatCode="0%"/>
      <fill>
        <patternFill patternType="solid">
          <fgColor indexed="64"/>
          <bgColor theme="2" tint="-0.249977111117893"/>
        </patternFill>
      </fill>
      <alignment horizontal="general" vertical="top" textRotation="0" wrapText="1" indent="0" justifyLastLine="0" shrinkToFit="0" readingOrder="0"/>
    </dxf>
    <dxf>
      <numFmt numFmtId="13" formatCode="0%"/>
      <fill>
        <patternFill patternType="solid">
          <fgColor indexed="64"/>
          <bgColor theme="2" tint="-0.249977111117893"/>
        </patternFill>
      </fill>
      <alignment horizontal="general" vertical="top" textRotation="0" wrapText="1" indent="0" justifyLastLine="0" shrinkToFit="0" readingOrder="0"/>
    </dxf>
    <dxf>
      <numFmt numFmtId="13" formatCode="0%"/>
      <fill>
        <patternFill patternType="solid">
          <fgColor indexed="64"/>
          <bgColor theme="2" tint="-0.249977111117893"/>
        </patternFill>
      </fill>
      <alignment horizontal="general" vertical="top" textRotation="0" wrapText="1" indent="0" justifyLastLine="0" shrinkToFit="0" readingOrder="0"/>
    </dxf>
    <dxf>
      <numFmt numFmtId="13" formatCode="0%"/>
      <fill>
        <patternFill patternType="solid">
          <fgColor indexed="64"/>
          <bgColor theme="2" tint="-0.249977111117893"/>
        </patternFill>
      </fill>
      <alignment horizontal="general" vertical="top" textRotation="0" wrapText="1" indent="0" justifyLastLine="0" shrinkToFit="0" readingOrder="0"/>
    </dxf>
    <dxf>
      <numFmt numFmtId="3" formatCode="#,##0"/>
      <fill>
        <patternFill patternType="solid">
          <fgColor indexed="64"/>
          <bgColor theme="2" tint="-0.249977111117893"/>
        </patternFill>
      </fill>
      <alignment horizontal="general" vertical="top" textRotation="0" wrapText="1" indent="0" justifyLastLine="0" shrinkToFit="0" readingOrder="0"/>
    </dxf>
    <dxf>
      <numFmt numFmtId="0" formatCode="General"/>
      <fill>
        <patternFill patternType="solid">
          <fgColor indexed="64"/>
          <bgColor theme="2" tint="-0.249977111117893"/>
        </patternFill>
      </fill>
      <alignment horizontal="general" vertical="top" textRotation="0" wrapText="1"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fill>
        <patternFill patternType="solid">
          <fgColor indexed="64"/>
          <bgColor theme="2" tint="-0.249977111117893"/>
        </patternFill>
      </fill>
      <alignment horizontal="general" vertical="top" textRotation="0" wrapText="1" indent="0" justifyLastLine="0" shrinkToFit="0" readingOrder="0"/>
    </dxf>
    <dxf>
      <numFmt numFmtId="3" formatCode="#,##0"/>
      <fill>
        <patternFill patternType="solid">
          <fgColor indexed="64"/>
          <bgColor theme="2" tint="-0.249977111117893"/>
        </patternFill>
      </fill>
      <alignment horizontal="general" vertical="top" textRotation="0" wrapText="1" indent="0" justifyLastLine="0" shrinkToFit="0" readingOrder="0"/>
    </dxf>
    <dxf>
      <numFmt numFmtId="3" formatCode="#,##0"/>
      <fill>
        <patternFill patternType="solid">
          <fgColor indexed="64"/>
          <bgColor theme="2" tint="-0.249977111117893"/>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alignment horizontal="general" vertical="top" textRotation="0" wrapText="1" indent="0" justifyLastLine="0" shrinkToFit="0" readingOrder="0"/>
    </dxf>
    <dxf>
      <numFmt numFmtId="3" formatCode="#,##0"/>
      <fill>
        <patternFill patternType="solid">
          <fgColor indexed="64"/>
          <bgColor theme="2" tint="-0.249977111117893"/>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ill>
        <patternFill patternType="solid">
          <fgColor indexed="64"/>
          <bgColor theme="2" tint="-0.249977111117893"/>
        </patternFill>
      </fill>
      <alignment horizontal="general" vertical="top" textRotation="0" wrapText="1" indent="0" justifyLastLine="0" shrinkToFit="0" readingOrder="0"/>
    </dxf>
    <dxf>
      <numFmt numFmtId="0" formatCode="General"/>
      <fill>
        <patternFill patternType="solid">
          <fgColor indexed="64"/>
          <bgColor theme="2" tint="-0.249977111117893"/>
        </patternFill>
      </fill>
      <alignment horizontal="general" vertical="top" textRotation="0" wrapText="1" indent="0" justifyLastLine="0" shrinkToFit="0" readingOrder="0"/>
    </dxf>
    <dxf>
      <fill>
        <patternFill patternType="solid">
          <fgColor indexed="64"/>
          <bgColor theme="2" tint="-0.249977111117893"/>
        </patternFill>
      </fill>
      <alignment horizontal="general" vertical="top" textRotation="0" wrapText="1" indent="0" justifyLastLine="0" shrinkToFit="0" readingOrder="0"/>
    </dxf>
    <dxf>
      <fill>
        <patternFill patternType="solid">
          <fgColor indexed="64"/>
          <bgColor theme="2" tint="-0.249977111117893"/>
        </patternFill>
      </fill>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Aptos Narrow"/>
        <scheme val="minor"/>
      </font>
      <numFmt numFmtId="0" formatCode="General"/>
      <fill>
        <patternFill patternType="none">
          <fgColor indexed="64"/>
          <bgColor indexed="65"/>
        </patternFill>
      </fill>
      <alignment horizontal="general" vertical="top" textRotation="0" wrapText="1" indent="0" justifyLastLine="0" shrinkToFit="0" readingOrder="0"/>
    </dxf>
    <dxf>
      <font>
        <color rgb="FF006100"/>
      </font>
      <fill>
        <patternFill patternType="solid">
          <bgColor theme="9"/>
        </patternFill>
      </fill>
    </dxf>
    <dxf>
      <font>
        <color rgb="FF9C0006"/>
      </font>
      <fill>
        <patternFill patternType="solid">
          <bgColor rgb="FFFF0000"/>
        </patternFill>
      </fill>
    </dxf>
    <dxf>
      <font>
        <color rgb="FF9C0006"/>
      </font>
      <fill>
        <patternFill patternType="solid">
          <bgColor rgb="FFFFC000"/>
        </patternFill>
      </fill>
    </dxf>
    <dxf>
      <font>
        <color rgb="FF006100"/>
      </font>
      <fill>
        <patternFill patternType="solid">
          <bgColor theme="9"/>
        </patternFill>
      </fill>
    </dxf>
    <dxf>
      <font>
        <color rgb="FF9C0006"/>
      </font>
      <fill>
        <patternFill patternType="solid">
          <bgColor rgb="FFFF0000"/>
        </patternFill>
      </fill>
    </dxf>
    <dxf>
      <font>
        <color rgb="FF9C0006"/>
      </font>
      <fill>
        <patternFill patternType="solid">
          <bgColor rgb="FFFFC000"/>
        </patternFill>
      </fill>
    </dxf>
    <dxf>
      <fill>
        <patternFill patternType="solid">
          <bgColor theme="7"/>
        </patternFill>
      </fill>
    </dxf>
    <dxf>
      <font>
        <strike val="0"/>
        <color theme="0"/>
      </font>
      <fill>
        <patternFill>
          <bgColor theme="1"/>
        </patternFill>
      </fill>
    </dxf>
    <dxf>
      <fill>
        <patternFill patternType="solid">
          <bgColor theme="7"/>
        </patternFill>
      </fill>
    </dxf>
    <dxf>
      <fill>
        <patternFill patternType="solid">
          <bgColor theme="7"/>
        </patternFill>
      </fill>
    </dxf>
    <dxf>
      <fill>
        <patternFill patternType="solid">
          <bgColor theme="7"/>
        </patternFill>
      </fill>
    </dxf>
    <dxf>
      <fill>
        <patternFill patternType="solid">
          <bgColor theme="7"/>
        </patternFill>
      </fill>
    </dxf>
    <dxf>
      <font>
        <strike val="0"/>
        <color theme="0"/>
      </font>
      <fill>
        <patternFill>
          <bgColor theme="1"/>
        </patternFill>
      </fill>
    </dxf>
    <dxf>
      <fill>
        <patternFill patternType="solid">
          <bgColor theme="7"/>
        </patternFill>
      </fill>
    </dxf>
    <dxf>
      <fill>
        <patternFill patternType="solid">
          <bgColor theme="7"/>
        </patternFill>
      </fill>
    </dxf>
    <dxf>
      <fill>
        <patternFill patternType="solid">
          <bgColor theme="7"/>
        </patternFill>
      </fill>
    </dxf>
    <dxf>
      <fill>
        <patternFill>
          <bgColor theme="9"/>
        </patternFill>
      </fill>
    </dxf>
    <dxf>
      <font>
        <color theme="0"/>
      </font>
      <fill>
        <patternFill>
          <bgColor theme="1"/>
        </patternFill>
      </fill>
    </dxf>
    <dxf>
      <fill>
        <patternFill>
          <bgColor rgb="FFFF0000"/>
        </patternFill>
      </fill>
    </dxf>
    <dxf>
      <numFmt numFmtId="3" formatCode="#,##0"/>
    </dxf>
    <dxf>
      <alignment vertical="top"/>
    </dxf>
    <dxf>
      <alignment vertical="top"/>
    </dxf>
    <dxf>
      <alignment vertical="top"/>
    </dxf>
    <dxf>
      <alignment vertical="top"/>
    </dxf>
    <dxf>
      <alignment vertical="top"/>
    </dxf>
    <dxf>
      <alignment wrapText="1"/>
    </dxf>
    <dxf>
      <alignment horizontal="left"/>
    </dxf>
    <dxf>
      <font>
        <b/>
      </font>
    </dxf>
    <dxf>
      <font>
        <sz val="12"/>
      </font>
    </dxf>
    <dxf>
      <font>
        <color rgb="FFFF0000"/>
      </font>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ont>
        <color rgb="FFFF0000"/>
      </font>
    </dxf>
    <dxf>
      <font>
        <color rgb="FFFF0000"/>
      </font>
    </dxf>
    <dxf>
      <font>
        <color rgb="FFFF0000"/>
      </font>
    </dxf>
    <dxf>
      <font>
        <color theme="1"/>
      </font>
    </dxf>
    <dxf>
      <font>
        <color theme="1"/>
      </font>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alignment wrapText="1"/>
    </dxf>
    <dxf>
      <font>
        <color rgb="FF000000"/>
      </font>
    </dxf>
    <dxf>
      <fill>
        <patternFill patternType="none"/>
      </fill>
    </dxf>
    <dxf>
      <fill>
        <patternFill patternType="solid">
          <fgColor indexed="64"/>
          <bgColor theme="4" tint="0.79998168889431442"/>
        </patternFill>
      </fill>
    </dxf>
    <dxf>
      <fill>
        <patternFill patternType="none">
          <bgColor auto="1"/>
        </patternFill>
      </fill>
    </dxf>
    <dxf>
      <alignment wrapText="1"/>
    </dxf>
    <dxf>
      <fill>
        <patternFill>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alignment wrapText="1"/>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alignment wrapText="1"/>
    </dxf>
    <dxf>
      <font>
        <color rgb="FFFF0000"/>
      </font>
    </dxf>
    <dxf>
      <fill>
        <patternFill patternType="solid">
          <bgColor theme="9"/>
        </patternFill>
      </fill>
    </dxf>
    <dxf>
      <fill>
        <patternFill>
          <bgColor theme="5" tint="0.39997558519241921"/>
        </patternFill>
      </fill>
    </dxf>
    <dxf>
      <fill>
        <patternFill patternType="solid">
          <bgColor theme="5" tint="0.39997558519241921"/>
        </patternFill>
      </fill>
    </dxf>
    <dxf>
      <fill>
        <patternFill patternType="solid">
          <fgColor indexed="64"/>
          <bgColor rgb="FFFFFF00"/>
        </patternFill>
      </fill>
    </dxf>
    <dxf>
      <fill>
        <patternFill patternType="none"/>
      </fill>
    </dxf>
    <dxf>
      <fill>
        <patternFill patternType="none"/>
      </fill>
    </dxf>
    <dxf>
      <numFmt numFmtId="13" formatCode="0%"/>
    </dxf>
    <dxf>
      <numFmt numFmtId="13" formatCode="0%"/>
    </dxf>
    <dxf>
      <numFmt numFmtId="13" formatCode="0%"/>
    </dxf>
    <dxf>
      <numFmt numFmtId="13" formatCode="0%"/>
    </dxf>
    <dxf>
      <numFmt numFmtId="13" formatCode="0%"/>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none"/>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ill>
        <patternFill patternType="none"/>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fgColor indexed="64"/>
          <bgColor theme="5" tint="0.39997558519241921"/>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bgColor theme="5" tint="0.59999389629810485"/>
        </patternFill>
      </fill>
    </dxf>
    <dxf>
      <fill>
        <patternFill patternType="none">
          <bgColor auto="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none">
          <bgColor auto="1"/>
        </patternFill>
      </fill>
    </dxf>
    <dxf>
      <fill>
        <patternFill patternType="solid">
          <bgColor theme="5" tint="0.59999389629810485"/>
        </patternFill>
      </fill>
    </dxf>
    <dxf>
      <fill>
        <patternFill>
          <bgColor theme="5" tint="0.39997558519241921"/>
        </patternFill>
      </fill>
    </dxf>
    <dxf>
      <fill>
        <patternFill patternType="solid">
          <bgColor theme="5" tint="0.39997558519241921"/>
        </patternFill>
      </fill>
    </dxf>
    <dxf>
      <fill>
        <patternFill patternType="none">
          <bgColor auto="1"/>
        </patternFill>
      </fill>
    </dxf>
    <dxf>
      <fill>
        <patternFill patternType="none">
          <bgColor auto="1"/>
        </patternFill>
      </fill>
    </dxf>
    <dxf>
      <fill>
        <patternFill patternType="solid">
          <bgColor theme="5" tint="0.59999389629810485"/>
        </patternFill>
      </fill>
    </dxf>
    <dxf>
      <fill>
        <patternFill>
          <bgColor theme="5" tint="0.39997558519241921"/>
        </patternFill>
      </fill>
    </dxf>
    <dxf>
      <numFmt numFmtId="4" formatCode="#,##0.00"/>
    </dxf>
    <dxf>
      <fill>
        <patternFill patternType="solid">
          <bgColor theme="5" tint="0.59999389629810485"/>
        </patternFill>
      </fill>
    </dxf>
    <dxf>
      <fill>
        <patternFill>
          <bgColor theme="5" tint="0.39997558519241921"/>
        </patternFill>
      </fill>
    </dxf>
    <dxf>
      <fill>
        <patternFill patternType="none">
          <bgColor auto="1"/>
        </patternFill>
      </fill>
    </dxf>
    <dxf>
      <fill>
        <patternFill>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none">
          <bgColor auto="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none">
          <bgColor auto="1"/>
        </patternFill>
      </fill>
    </dxf>
    <dxf>
      <fill>
        <patternFill patternType="solid">
          <bgColor theme="5"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person displayName="jessica.yeung@bom.gov.au" id="{1674041C-5828-43C4-A872-5F98085B4D25}" userId="S::urn:spo:guest#jessica.yeung@bom.gov.au::" providerId="AD"/>
  <person displayName="Jessica Yeung" id="{45DEC5E9-390F-405B-B481-BAA36A18592F}" userId="S::jessica.yeung@bom.gov.au::b75156f4-9ad5-451c-b3e2-cb1dad4efbc9" providerId="AD"/>
  <person displayName="k.paton" id="{1F41802F-E90A-45E0-B3F4-C5A12BFFFE30}" userId="S::k.paton_katpatnz.co.nz#ext#@sprep.onmicrosoft.com::528f0143-84f1-4427-9fdf-a6f5aba87b59" providerId="AD"/>
  <person displayName="Jessica Yeung" id="{6DA1330C-1C38-4752-B018-8268ECEB3B6E}" userId="S::jessica.yeung_bom.gov.au#ext#@sprep.onmicrosoft.com::eb85ab6e-1caf-4490-889e-142937ba3fb8"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174.887166087959" createdVersion="8" refreshedVersion="8" minRefreshableVersion="3" recordCount="124" xr:uid="{00000000-000A-0000-FFFF-FFFF16000000}">
  <cacheSource type="worksheet">
    <worksheetSource name="Projects"/>
  </cacheSource>
  <cacheFields count="68">
    <cacheField name="KRA" numFmtId="0">
      <sharedItems containsMixedTypes="1" containsNumber="1" containsInteger="1" minValue="0" maxValue="5" count="7">
        <n v="1"/>
        <n v="4"/>
        <n v="5"/>
        <n v="2"/>
        <n v="3"/>
        <n v="0"/>
        <e v="#N/A"/>
      </sharedItems>
    </cacheField>
    <cacheField name="Output" numFmtId="0">
      <sharedItems containsMixedTypes="1" containsNumber="1" containsInteger="1" minValue="0" maxValue="0" count="14">
        <s v="Output 1.1 WRP governance, management and financing mechanisms established, mandated and equipped to coordinate a Pacific-led, integrated, and sustainable programme"/>
        <s v="Output 4.1 An integrated Pacific forecasting platform established and operating sustainably to global standards"/>
        <s v="Output 1.3 Transformative GEDSI strategy adopted and integrated across governance, management and partner programming"/>
        <s v="Output 5.1 Pacific capacity and collaborative approaches to deliver locally-relevant, impact-based, inclusive and accessible forecasts and warnings for end users strengthened and sustained"/>
        <s v="OP2.2 Inclusive leadership and technical capability strengthening programmes established and delivering ongoing training to industry standards"/>
        <s v="OP4.2 Pacific forecasting capacity expanded and maintained"/>
        <s v="Output 3.1 Interoperable, affordable and resilient observation network progressively remediated, expanded and sustained"/>
        <s v="OP2.1 WMO-designated Pacific Regional Training Centre established and sustainably managed"/>
        <s v="Output 3.2 WMO-designated Pacific Regional Instrument Centre established and sustainably managed"/>
        <s v="OP2.3 Continuous learning and mentoring opportunities provided"/>
        <s v="Contingency and Other"/>
        <s v="Output 1.2 Sustainable hydrometerological financing facility and resource mobilisation approach established and operational"/>
        <e v="#N/A"/>
        <n v="0" u="1"/>
      </sharedItems>
    </cacheField>
    <cacheField name="Activity No." numFmtId="0">
      <sharedItems containsMixedTypes="1" containsNumber="1" containsInteger="1" minValue="0" maxValue="0" count="37">
        <s v="1.1.2"/>
        <s v="1.1.1"/>
        <s v="4.1.1"/>
        <s v="1.3.1"/>
        <s v="5.1.4"/>
        <s v="2.2.5"/>
        <s v="1.1.3"/>
        <s v="4.2.6"/>
        <s v="3.1.1"/>
        <s v="3.1.5"/>
        <s v="2.1.1"/>
        <s v="2.2.1"/>
        <s v="3.2.1"/>
        <s v="2.2.4"/>
        <s v="2.2.3"/>
        <s v="2.3.1"/>
        <s v="3.1.3"/>
        <s v="4.2.1"/>
        <s v="4.2.2"/>
        <s v="2.2.2"/>
        <s v="3.1.2"/>
        <s v="4.2.4"/>
        <s v="5.1.6"/>
        <n v="0"/>
        <s v="1.1.4"/>
        <s v="2.2.6"/>
        <s v="5.1.7"/>
        <s v="5.1.1"/>
        <s v="4.2.5"/>
        <s v="3.1.7"/>
        <s v="5.1.2"/>
        <s v="1.2.1"/>
        <s v="5.1.5"/>
        <s v="1.3.2"/>
        <s v="3.1.6"/>
        <s v="1.1.5"/>
        <e v="#N/A"/>
      </sharedItems>
    </cacheField>
    <cacheField name="Activity Ref" numFmtId="0">
      <sharedItems containsMixedTypes="1" containsNumber="1" containsInteger="1" minValue="11" maxValue="82"/>
    </cacheField>
    <cacheField name="Activity" numFmtId="0">
      <sharedItems containsBlank="1" count="119">
        <s v="Operational Phase of PMU and coordination activities"/>
        <s v="Establish the PMU, Operational Processes and WRP pooled fund"/>
        <s v="Develop an Integrated Forecasting Platform and strengthen RSMCs (incl WIS, CAP)"/>
        <s v="GEDSI and social safeguards mainstreamed into WRP"/>
        <s v="Inclusive Community Education and Information-Exchange collectives"/>
        <s v="Specialised regional workshops and training courses"/>
        <s v="MERL framework establishment and operationalisation"/>
        <s v="Provide additional ICT and other technical staff to expand capacity"/>
        <s v="Implement observation network plans, asset management, standardised infrastructure, data management and maintenance practices"/>
        <s v="Establish weather watch radars"/>
        <s v="Establish and operate a Regional Training Centre (RTC)"/>
        <s v="Training of forecasters to BIP-M standard"/>
        <s v="Establish and operate a Regional Instrument Centre (RIC)"/>
        <s v="Establish and deliver a Pacific Meteorology Leadership Programme for mid and senior level staff"/>
        <s v="Training of observers, technicians and ICT specialists, and assessment of competencies"/>
        <s v="Twinning programme, ongoing mentoring and communities of practices"/>
        <s v="Revitalise and expand automatic and manual weather stations "/>
        <s v="Strengthen aviation forecasting"/>
        <s v="Strengthen public forecasting"/>
        <s v="Training on specialised forecasting services, and assessment of competencies (e.g. marine, aviation, hydrology/ hydrography)"/>
        <s v="Provide asset management and maintenance staff to expand capacity (e.g. SPREP, SPC, NMHS)"/>
        <s v="Strengthen coastal inundation forecasting"/>
        <s v="Install communication internet access equipment and operational costs"/>
        <s v="Contingency and Other"/>
        <s v="PMU Staff (Management and Delivery Support roles)"/>
        <s v="Provide additional staff for training and capacity development"/>
        <s v="Provide additional staff for warning communication and engagement to expand capacity"/>
        <s v="Planning for delivery of impact-based messages and warnings to end-users, considering persons with disabilities and vulnerable groups."/>
        <s v="Strengthen hydrological services and riverine flood forecasting"/>
        <s v="Revitalise and expand tide gauges"/>
        <s v="Prepare impact-based, location specific warnings, based on assessments and modelling, and incorporating traditional knowledge"/>
        <s v="Sustainable hydrometeorological financing investment facility"/>
        <s v="Develop innovative approaches for dissemination of forecasts and warnings to end-users (e.g. cell broadcasting, mobile apps, social media) "/>
        <s v="Cultivating a diverse and GEDSI responsive hydrometeorological service and warning institutions"/>
        <s v="Revitalise and expand wave buoys"/>
        <s v="NMHS Staff to expand capacity to support programme delivery"/>
        <m/>
        <s v="Strengthen marine forecasting" u="1"/>
        <s v="PMU Staff (non-delivery focussed roles)" u="1"/>
        <s v="PMU Staff (implementation management roles)" u="1"/>
        <s v="Sustainable hydrometerological financing investment facility" u="1"/>
        <s v="Unallocated Activity" u="1"/>
        <s v="GEDSI and safeguards mainstreamed into WRP" u="1"/>
        <s v="Deliver and continuously review impact based messaging including translation into local languages" u="1"/>
        <s v="Install satellite communication internet access equipment and operational costs" u="1"/>
        <s v="Partnerships to deliver community education and awareness (e.g. COPE books, WWW)" u="1"/>
        <s v="Implement observation network plans, asset management, standardised infrastructure and maintenance practices" u="1"/>
        <s v="Prepare observation network plans, implement asset management, standardise infrastructure and maintenance practices" u="1"/>
        <s v="Specialised regional workshops and training courses (e.g. QMS, WMO CAP, WIS, IT, social media, research, WIPPS, pacific oceans portal, OSCAR, WIGOS, RBSN, RBCN, GBON, GEDSI and safeguards, Asset Management)" u="1"/>
        <s v="Develop innovative approaches for dissemination of forecasts and warnings to communities (e.g. cell broadcasting, mobile apps, social media) " u="1"/>
        <s v="1.1 Establishment of the PMU and Operational Processes " u="1"/>
        <s v="5.8 Provision of additional ICT and technical staff to expand capacity" u="1"/>
        <s v="4. High resolution coastal inundation forecasting system and observing infrastructure" u="1"/>
        <s v="Establishment of the PMU, Operational Processes and WRP pooled fund" u="1"/>
        <s v="5. Weather watch radars _x000a_Preparation of a radar network plan and establishment of weather watch radar in 5 countries" u="1"/>
        <s v="5.4 Training on specialised forecasting services, and assessment of competencies (e.g. marine, aviation, hydrology/hydrography)" u="1"/>
        <s v="3.4 Installation of satellite communication internet access equipment and operational costs" u="1"/>
        <s v="1. Automatic and manual weather stations " u="1"/>
        <s v="2. Establishment of preferred supplier contracts and regional policy of standardisation" u="1"/>
        <s v="4. Training of NMHS to BIP-MT standard including aviation observations" u="1"/>
        <s v="4.2 Revitalise and expand automatic and manual weather stations " u="1"/>
        <s v="2.6 Strengthen hydrological services and riverine flood forecasting" u="1"/>
        <s v="2.1 Development of an Integrated Forecasting Platform and strengthening RSMCs" u="1"/>
        <s v="Installation of satellite communication internet access equipment and operational costs of selected NMHSs and NDMO e.g Starlink." u="1"/>
        <s v="2. Hydrology Implementation and Roll Out" u="1"/>
        <s v="1. Regional Hydrology Strategy and Planning" u="1"/>
        <s v="1.3 Operational Phase of PMU and coordination activities" u="1"/>
        <s v="4.6 Revitalise and expand tide gauges" u="1"/>
        <s v="Establishment of the PMU and Operational Processes " u="1"/>
        <s v="1. Observing Network Strategies and Asset Management Plans " u="1"/>
        <s v="2. Topography and bathymetry survey (Lidar) " u="1"/>
        <s v="Planning for delivery of impact-based messages and warnings to end-users, considering vulnerable groups." u="1"/>
        <s v="1.4 PMU Staff (non-delivery focussed roles)" u="1"/>
        <s v="5.6 Estabish and deliver a Pacific Meteorology Leadership Programme for mid and senior level staff" u="1"/>
        <s v="2. National consultations with NMHS, NDMO, vulnerable groups and socio economic sectors to review existing messages and warnings to end_x0002_users." u="1"/>
        <s v="Observation network plans, asset management and standardisation of infrastructure and maintenance practices" u="1"/>
        <s v="2.4 Strengthen marine forecasting" u="1"/>
        <s v="WRP pooled investment fund  and sustainable financing strategy" u="1"/>
        <s v="3.3 Delivery and continous review of response and impact based messaging, including local languages, community engagement and partnerships, public awareness  activities (e.g. COPE books)" u="1"/>
        <s v="Establishment of a Regional Training Centre (RTC) and the training of observers, technicians and IT specialist" u="1"/>
        <s v="3. IFP Operations and Enhancement" u="1"/>
        <s v="2. CoP Technicians" u="1"/>
        <s v="2. Financial Model " u="1"/>
        <s v="Training on specialised forecasting services, and assessment of competencies (e.g. marine, aviation, hydrology/hydrography)" u="1"/>
        <s v="Prepare observation network plans, implement asset management and standardise infrastructure and maintenance practices" u="1"/>
        <s v="5.9 Twinning programme, ongoing mentoring and communities of practices" u="1"/>
        <s v="2.2 Strengthen aviation forecasting" u="1"/>
        <s v="5.2 Establishment of a Regional Instrument Centre (RIC)" u="1"/>
        <s v="5. Diploma and certificate training for technicians and ICT specialists" u="1"/>
        <s v="5.1 Establishment of a Regional Training Centre (RTC) and a regional maintenance capability" u="1"/>
        <s v="Establish asset infrastructure management and maintenance staff to expand capacity (e.g. SPREP, SPC, NMHS)" u="1"/>
        <s v="2.5 Strengthen coastal inundation forecasting" u="1"/>
        <s v="Deliver and continously review of response based messaging, including local languages, community engagement and partnerships, public awareness  activities (e.g. COPE books)" u="1"/>
        <s v="1. IFP Planning and Design" u="1"/>
        <s v="4.1 Observation network plans, asset management and standardisation of infrastructure and maintenance practices" u="1"/>
        <s v="Delivery of Training to uplift capability to industry standard" u="1"/>
        <s v="5.5 Training of observers, technicians and ICT specialists, and assesment of competencies" u="1"/>
        <s v="6. QMS Training Programme for Pacific SIDS" u="1"/>
        <s v="Deliver and continously review of impact based messaging including translation into local languages" u="1"/>
        <s v="3. Regional workshop with NDMOs, NMHS, EW4All to review existing messaging and develop a plan for preparation and delivery of response based messaging and warnings to end users" u="1"/>
        <s v="1. Standard specifications and guidelines" u="1"/>
        <s v="Standardisation of pacific meteorological, communication and ICT Infrastructure and maintenance practices" u="1"/>
        <s v="3. Asset Management Information System" u="1"/>
        <s v="3.2 Preparation of response and impact-based, location specific warnings, based on assessments and modelling, and incorporating traditional knowledge" u="1"/>
        <s v="Specialised regional workshops and training courses (e.g. QMS, WMO CAP, WIS, IT, social media, research, WIPPS, pacific oceans portal, OSCAR, WIGOS, RBSN, RBCN, GBON, GEDSI, Asset Management)" u="1"/>
        <s v="GEDSI is mainstreamed into WRP" u="1"/>
        <s v="Translation and printing of the COPE initiative books,  educating children awareness of natural disasters and hazards (Helping children COPE with natural disasters and hazards) for 3 countries." u="1"/>
        <s v="5.3 Training of forecasters to BIP-M standard" u="1"/>
        <s v="2. IFP Implementation and Roll Out" u="1"/>
        <s v="Provision of additioal ICT staff to expand capacity and capability Provision of additional ICT staff in 14 NMHS not aligned with the USA National Weather Service or Meteo France and 2 additional ICT staff in Fiji" u="1"/>
        <s v="1. Training of NMHS forecasters to BIP-M standard" u="1"/>
        <s v="Establish asset infrastructure management and maintenance staff to expand capacity" u="1"/>
        <s v="1.2 WRP pooled investment fund  and sustainable financing" u="1"/>
        <s v="4.4 Establishment of weather watch radars" u="1"/>
        <s v="Establishment of a Regional Instrument Centre (RIC) and a regional maintenance capability Establishment of an Instrument Calibration Centre" u="1"/>
        <s v="Training of observers, technicians and ICT specialists, and assesment of competencies" u="1"/>
        <s v="5.7 Specialised regional workshops and training courses (e.g. QMS, WMO CAP, WIS, IT, social media, research, WIPPS, pacific oceans portal, OSCAR, WIGOS, RBSN, RBCN, GBON)" u="1"/>
        <s v="1.5 GEDSI is mainstreamed into WRP" u="1"/>
        <s v="3.1 Planning for delivery of response and impact-based messages and warnings to end-users, considering vulnerable groups." u="1"/>
      </sharedItems>
    </cacheField>
    <cacheField name="Project Title" numFmtId="0">
      <sharedItems containsBlank="1" count="226">
        <s v="NZ Met Services Technical support/ Governance/ Programme Management"/>
        <s v="ESNZ Project technical support, governance, reporting, adaptive management, communications"/>
        <s v="Revised WRP Investment plan and implementation plan aligned with EW4ALL"/>
        <s v="Initial consultation and workshop on an integrated forecast platform and other workshops"/>
        <s v="Operational budget for mainstreaming GEDSI into WRP implementation"/>
        <s v="Translation and printing of COPE books"/>
        <s v="Installation and training in the common alerting protocol and Regional workshop"/>
        <s v="Peer review of IFP"/>
        <s v="IFP Design and ICT Architecture"/>
        <s v="IFP Implementation and Roll Out - Progressively by country"/>
        <s v="Regional M&amp;E Workshop"/>
        <s v="Secondment of ICT Specialist to progress IFP, KRA 2 and 3. "/>
        <s v="PMU Travel and Workshops"/>
        <s v="Branding and advertising"/>
        <s v="Hosting of WRP Steering and Liaison Platform"/>
        <s v="Upper Air network plan"/>
        <s v="Asset Management Information System Implementation (software &amp; training)"/>
        <s v="MERL and Sustainability Framework"/>
        <s v="Staff start up cost (IT, furniture) and communicating &amp; promotion"/>
        <s v="Samoa Radar"/>
        <s v="PNG Radar"/>
        <s v="5 Atolls Radars"/>
        <s v="FSM Radar"/>
        <s v="Kiribati Radar"/>
        <s v="Regional workshop to advance discussions for the establishment of the Regional Training Centre"/>
        <s v="Meteorologists Training in 2025"/>
        <s v="Review of WRP governance and alignment with EW4All"/>
        <s v="Training of FMS Staff to support ISO/IEC 17025 certification of RIC"/>
        <s v="Liaison with regional institutions for the development of a Leadership Program for mid-level to senior staff level and deliver the course "/>
        <s v="BIP MT Training"/>
        <s v="ISO 9001 / QMS Training delivered at Fiji Met in partnership with Fiji National University"/>
        <s v="HydroMet Technician Training and Peer Network"/>
        <s v="AWS and Manual Stations Observing Network Sustainability Planning and Refurbishment (part 1 - plans)"/>
        <s v="AWS and Manual Stations Observing Network Sustainability Planning and Refurbishment (part 2 - refurbishment)"/>
        <s v="Radar Network Plan/Strategy"/>
        <s v="Tonga Radar"/>
        <s v="Workshops funded by UK"/>
        <s v="Solomon Islands Radar"/>
        <s v="Construction and operationalisation of Regional Instrumentation Centre "/>
        <s v="Construction and operationalisation of Regional Training Centre "/>
        <s v="Guidance Document for Standardisation and Maintenance of Meteorological Equipment"/>
        <s v="Aviation industry workshop"/>
        <s v="Governance framework for RTC and RIC"/>
        <s v="Severe Weather Pilot (3 countries) - strengthen public forecasting"/>
        <s v="Severe Weather Pilot (3 countries) - twinning and community of practice"/>
        <s v="Strengthen public weather forecasting practices, community of practice and twinning"/>
        <s v="Technical partners Integrated Forecast System Workshop"/>
        <s v="Meteorologists Training in 2024"/>
        <s v="Meteorologists Training"/>
        <s v="Hydrologists Training"/>
        <s v="Development of bridging and/or support for BIP-M in collaboration with RTC, USP and PIETR. "/>
        <s v="Staff: Asset Manager"/>
        <s v="Establish pacific Asset Management Capability, Plans and Lifecycle Cost Forecast"/>
        <s v="COSPPac Data management, products and services"/>
        <s v="Tokelau Data Collection and Inundation Forecasting"/>
        <s v="Secondment of Forecasting Specialist to progress IFP, KRA 2 and 3. "/>
        <s v="Develop Lidar strategy for the Pacific"/>
        <s v="Complete Lidar surveys for the Marshall Islands"/>
        <s v="Plan for roll out of satellite communication, capacity development with the community, with units for selected countries"/>
        <s v="MHEWS Readiness Fund (flexi-fund)"/>
        <s v="Staff: Programme Manager"/>
        <s v="Staff: Technical Adviser Infrastructure &amp; ICT"/>
        <s v="Staff: Finance Accountant"/>
        <s v="Staff: Finance &amp; Administration Officer"/>
        <s v="GEDSI and Social Safeguard Specialist"/>
        <s v="Staff: ESS/GEDSI Officer"/>
        <s v="Staff: Support to WRP PMU Human Resource_x000a_"/>
        <s v="Staff: Technical Adviser Capability Training_x000a_"/>
        <s v="Staff:  Technical Adviser Forecasting"/>
        <s v="Staff: Procurement and Contracts Officer"/>
        <s v="Staff: Communications and Knowledge Management Officer "/>
        <s v="National consultation workshops with selected countries to review existing messages and warnings"/>
        <s v="Staff: Monitoring , Evaluation, Research , Learning and Adaptation Officer (MERLA)"/>
        <s v="Staff: Resource Mobilisation Officer"/>
        <s v="Staff: WRP Secretariat and PMC Technical Support Officer"/>
        <s v="Staff: ICT Officer"/>
        <s v="Staff: Finance Investment Advisor"/>
        <s v="Communication Strategy and Action Plan"/>
        <s v="Resource Mobilisation Strategy"/>
        <s v="Environmental and Social Safeguard Framework"/>
        <s v="Pooled fund - Legal and financial framework around the WRP Investment Facility"/>
        <s v="Staff start up cost (IT, furniture) and communicating &amp; promotion Office space and operational costs"/>
        <s v="Regional workshop with NDMOs, NMHS, EW4All to review existing messaging and develop plan for preparation and delivery of response-based messaging and warnings to end users"/>
        <s v="Ocean and tides network plan"/>
        <s v="Flood and hydrology network plan"/>
        <s v="ICT Network plan"/>
        <s v="Geohazard Network Plan"/>
        <s v="Partnership for Aviation Component 1 - Provision of infrastructure for aviation weather observations"/>
        <s v="Partnership for Aviation Component 2 - Training for aviation weather forecasters, observers, and technicians"/>
        <s v="Development of a regional strategy for hydrology"/>
        <s v="Twinning Arrangement Solomon Islands"/>
        <s v="Twinning Arrangement PNG"/>
        <s v="COSPPac Observations infrastructure and data support"/>
        <s v="Hydrological database transition support"/>
        <s v="COSPPac Communications with and between key stakeholders and diverse communities"/>
        <s v="Sustainable financing and resource mobilisation options"/>
        <s v="Hiring ICT staff for Pacific Island Country NMHSs"/>
        <s v="SOFF infrastructure upgrade"/>
        <s v="MERL Programmatic evaluations"/>
        <s v="MERL Research"/>
        <s v="Staff: SPC resource to coordinate oceans infrastructure and asset management"/>
        <s v="GSMA cell broadcasting workshop and training"/>
        <s v="COSPPac - MERL framework, indicators and reporting has overlap and synergies with WRP. COSPPac outputs results in overall efficiency in for WRP and NMHS reporting. "/>
        <s v="COSPPac - shared travel cost for regional meetings and coordination"/>
        <s v="COSPPac - shared resources in GEDSI, MERL, communications"/>
        <s v="COSPPac - shared resources in GEDSI, overlap in stakeholder engagement, develoment of tools and frameworks for executing staff"/>
        <s v="Business model review for RTC and RIC"/>
        <s v="AI-ML Weather Models"/>
        <s v="Bureau of Meteorology Technical input to WRP - PMU"/>
        <s v="PIETR panel Training and capacity development roadmap development and implementation"/>
        <s v="Radio system implementation for early warning dissemination"/>
        <s v="GESDI responsive NMHS buidings and operations"/>
        <s v="Wave Buoys"/>
        <s v="NMHS Project Delivery and MERL Staff"/>
        <s v="Quality management systems and Part 174 compliance uplift"/>
        <s v="Cell Broadcasting Strategy Implementation"/>
        <m/>
        <s v="ESNZ Design, Consultation, Project technical support, governance, reporting, adaptive management, communications" u="1"/>
        <s v="Operational budget for mainstreaming GDESI into WRP implementation" u="1"/>
        <s v="Communication Strategy" u="1"/>
        <s v="Establish pacific Asset Management Capability, Plans and Financial Model" u="1"/>
        <s v="Peer review of IFP and Severe Weather Pilot" u="1"/>
        <s v="IFP Operations and Enhancements" u="1"/>
        <s v="HydroMet Technician Training Options Development and Community of Practice (COP)" u="1"/>
        <s v="Coastal Data Collection &amp;  Inundation Forecasting in Tokelau" u="1"/>
        <s v="NZMet Engagement, Governance and Technical Support" u="1"/>
        <s v="Severe Weather Pilot (3 countries)" u="1"/>
        <s v="QMS Training delivered at Fiji Met in partnership with Fiji National University" u="1"/>
        <s v="ISO 9001 / QMS training delivered at Fiji Met in partnership with FNU" u="1"/>
        <s v="Staff: Asset Management Officer" u="1"/>
        <s v="RIC planning workshops in collaboration with partners and WRP stakeholders" u="1"/>
        <s v="PMU Travel" u="1"/>
        <s v="Partnership for Aviation Component 3 - Support for improved systems and processes" u="1"/>
        <s v="GEDSI Engagement/MHEWS Readiness Fund (15 NMHS)" u="1"/>
        <s v="Planning workshops in collaboration with partners and WRP stakeholders" u="1"/>
        <s v="Asset Management Information System Implementation" u="1"/>
        <s v="Meteorologists Training 2026 - 2029" u="1"/>
        <s v="Staff: Finance Advisor" u="1"/>
        <s v="NIWA Project technical support, governance, reporting, adaptive management, communications" u="1"/>
        <s v="Short term WRP planning workshops in collaboration with partners and WRP stakeholders" u="1"/>
        <s v="NIWA Project technical support, governance, reporting, adaptive mangaement, communications" u="1"/>
        <s v="HydroMet Technican Training Options Development and Community of Practice (COP)" u="1"/>
        <s v="Staff: Monitoring , Evaluation, Research , Learning and Adapation Officer (MERLA)" u="1"/>
        <s v="Staff: GEDSI and Social Safeguard Advisor" u="1"/>
        <s v="Bureau of Meteorology Technical input to WRP - KRA 2 people capability" u="1"/>
        <s v="Bureau of Meteorology Technical input to WRP - KRA 3 Observing infrastructure" u="1"/>
        <s v="Bureau of Meteorology Technical input to WRP - KRA 4 Forecasting" u="1"/>
        <s v="Bureau of Meteorology Technical input to WRP - KRA 5 Warning and communication" u="1"/>
        <s v="Output 4. HydroMet Community of Practice" u="1"/>
        <s v="BIP-MT Training Course" u="1"/>
        <s v="[deleted from COSPPac design] Capacity development including support for Weather Ready Pacific to establish a Regional Training Centre (RTC)" u="1"/>
        <s v="Staff: Regional asset manager in SPREP to Implement roadmap for sustainable financing and asset management" u="1"/>
        <s v="Establishing pacific Asset Management Plan and Financial Model" u="1"/>
        <s v="Investment Pool System" u="1"/>
        <s v="Peer review of Severe Weather Pilot" u="1"/>
        <s v="Staff: Secondment of ICT Advisor to progress IFP, KRA 2 and 3. " u="1"/>
        <s v="Staff: Secondment of Forecasting Advisor to progress IFP, KRA 2 and 3. " u="1"/>
        <s v="Pooled fund consultancy - Legal and financial framework around the WRP Investment Facility" u="1"/>
        <s v="Contingency (5%) for FOREX of DFAT tranches and other costs" u="1"/>
        <s v="Legal and financial framework around the WRP Investment Facility" u="1"/>
        <s v="BIP-MT Training Course Regional workshop" u="1"/>
        <s v="Office space and operational costs" u="1"/>
        <s v="Communications and Knowledge Management Officer " u="1"/>
        <s v="[Jessica Proposed] Establishing pacific Asset Management Plan and Financial Model framework consultancy" u="1"/>
        <s v="Recruiting a regional asset manager position at SPREP to Implement roadmap through overseeing consultant (world bank/PRIF), develop asset management plan and in-country assesments" u="1"/>
        <s v="Meteorologists Training in 2026" u="1"/>
        <s v="[Jessica proposed] All other observing network &amp; ICT infrastructure plans/strategy (upper air, ocean, hydrology/flood, Tides, ICT)" u="1"/>
        <s v="Secondment of Forecasting Advisors to progress IFP, KRA 2 and 3. " u="1"/>
        <s v="Development of bridging and/or support courses for BIP-M, technical courses/training in collaboration with RTC, USP and PIETR. " u="1"/>
        <s v="ESS/GEDSI" u="1"/>
        <s v="Finance Advisor" u="1"/>
        <s v="Secondment of ICT and Forecast Advisors to progress IFP, KRA 2 and 3. " u="1"/>
        <s v="ESS/GEDSI Officer" u="1"/>
        <s v="Training delivered at Fiji Met in partnership with Fiji National University" u="1"/>
        <s v="Sustainable financing and industry partnership options" u="1"/>
        <s v="[Jessica proposed] Asset Management Information System Procurement and Implementation" u="1"/>
        <s v="Programme Manager" u="1"/>
        <s v="GEDSI Engagement/MHEWS Reddiness Fund (15 NMHS)" u="1"/>
        <s v="Technical Adviser Forecasting" u="1"/>
        <s v="MERL and Sustainability Framework Contractor" u="1"/>
        <s v="Regional workshop to advance discussions for the establishment of the Regional Instrumentation Centre " u="1"/>
        <s v="COSPPac Capacity development including support for Weather Ready Pacific to establish a Regional Training Centre (RTC)" u="1"/>
        <s v="Technical Adviser Capacity Training_x000a_" u="1"/>
        <s v="Initial consultation and workshop on an integrated forecast platform" u="1"/>
        <s v="WRP Secretariat and PMC Technical Support Officer" u="1"/>
        <s v="Establishing pacific Asset Management Plan and Financial Model framework consultancy" u="1"/>
        <s v="Finance Accountant" u="1"/>
        <s v="GEDSI Engagement/MHEWS Reddiness Fund (15 NMHS to provide  National proposal and activity details). 2026 budget to increase if successful." u="1"/>
        <s v="Finance &amp; Administration Officer" u="1"/>
        <s v="Development of bridging courses for BIP-M, technical coureses/training in collaboration with RTC, USP and PIETR. " u="1"/>
        <s v="[Jessica Proposed] IFP Operations and Enhancements" u="1"/>
        <s v="Staff: Recruitment of a regional asset manager in SPREP to Implement roadmap for sustainable financing and asset management" u="1"/>
        <s v="All other observing network &amp; ICT infrastructure plans (upper air, ocean, hydrology/flood, Tides, ICT)" u="1"/>
        <s v="BIP-M Training 2025" u="1"/>
        <s v="Meteorologists Training in 2024 (Samoan x3)" u="1"/>
        <s v="Regional workshop to advance discussions for the establishment of the Regional Training Centre " u="1"/>
        <s v="Recruitment of a regional asset manager in SPREP to Implement roadmap through overseeing consultant (world bank/PRIF), develop asset management plan and in-country assesments" u="1"/>
        <s v="Project technical support, governance, reporting, adaptive mangaement, communications" u="1"/>
        <s v="IFP Concept Design and ICT Architecture" u="1"/>
        <s v="Meteorologists and Hydrologists Training in 2026" u="1"/>
        <s v="Secondment of ICT Advisor to progress IFP, KRA 2 and 3. " u="1"/>
        <s v="COSPPac tide guage" u="1"/>
        <s v="Procurement and installation of Starlink systems " u="1"/>
        <s v="Procurement and Contracts Officer" u="1"/>
        <s v="Monitoring , Evaluation, Research , Learning and Adapation Officer (MERLA)" u="1"/>
        <s v="ISO RIC Training of FMS Staff in NZ" u="1"/>
        <s v="Monitoring , Evaluation, Research , Learning and Adapation Officer ( MERLA)" u="1"/>
        <s v="Hydrological database transition support in 15 PICTs" u="1"/>
        <s v="Support to WRP PMU Human Resource_x000a_" u="1"/>
        <s v="ICT Officer" u="1"/>
        <s v="Samoan Meteorologists trained in 2024" u="1"/>
        <s v="Workshop in Nadi, Fiji with Regional institutions as Part of the RTC disscussions" u="1"/>
        <s v="Supply and install a C-Band Radar in Samoa" u="1"/>
        <s v="Hydrologists Training in 2026" u="1"/>
        <s v="GEDSI and Social Safeguard Advisor" u="1"/>
        <s v="Hiring ICT staff for Pacific Island Country NMHSs (8 Countries)" u="1"/>
        <s v="[Jessica Proposed] IFP Implementation and Roll Out - Progressively by country" u="1"/>
        <s v="Development of bridging courses for BIP-M, technical courses/training in collaboration with RTC, USP and PIETR. " u="1"/>
        <s v="Technical Adviser Infrastructure &amp; ICT" u="1"/>
        <s v="Hiring of National Translators and transfering fund in country and printing " u="1"/>
        <s v="Training of FMS Staff in NZ" u="1"/>
        <s v="Staff: Technical Adviser Capacity Training_x000a_" u="1"/>
        <s v="Secondment of Forecasting Advisor to progress IFP, KRA 2 and 3. " u="1"/>
        <s v="Implementing roadmap through recruiting a regional asset manager position at SPREP to development asset management plan and in-country assesments and oversee consultant (world bank/PRIF)" u="1"/>
        <s v="Resource Mobilisation Officer" u="1"/>
        <s v="Recruitment of a regional asset manager in SPREP to Implement roadmap for sustainable financing and asset management" u="1"/>
      </sharedItems>
    </cacheField>
    <cacheField name="Phase" numFmtId="0">
      <sharedItems containsBlank="1" containsMixedTypes="1" containsNumber="1" containsInteger="1" minValue="11" maxValue="90"/>
    </cacheField>
    <cacheField name="Task" numFmtId="0">
      <sharedItems containsBlank="1" containsMixedTypes="1" containsNumber="1" containsInteger="1" minValue="0" maxValue="10"/>
    </cacheField>
    <cacheField name="Concept No. " numFmtId="0">
      <sharedItems containsString="0" containsBlank="1" containsNumber="1" containsInteger="1" minValue="2501" maxValue="2602"/>
    </cacheField>
    <cacheField name="Project No. " numFmtId="0">
      <sharedItems/>
    </cacheField>
    <cacheField name="Project Type" numFmtId="0">
      <sharedItems containsBlank="1" containsMixedTypes="1" containsNumber="1" containsInteger="1" minValue="8" maxValue="12" count="9">
        <s v="Major"/>
        <s v="Standard"/>
        <s v="External"/>
        <s v="Staff"/>
        <m/>
        <n v="8" u="1"/>
        <n v="10" u="1"/>
        <n v="11" u="1"/>
        <n v="12" u="1"/>
      </sharedItems>
    </cacheField>
    <cacheField name="Executing Agency" numFmtId="0">
      <sharedItems containsBlank="1" count="25">
        <s v="NZ Met Services"/>
        <s v="ESNZ"/>
        <s v="WRP"/>
        <s v="BOM, UK Met Office"/>
        <s v="BOM, NZ MetServices"/>
        <s v="BOM"/>
        <s v="MFAT - MERL"/>
        <s v="WRP, BOM, NZMetServices"/>
        <s v="UNEP/ICAO"/>
        <s v="JICA"/>
        <s v="ADB"/>
        <s v="PAGASA"/>
        <s v="WRP, BOM"/>
        <s v="SPC"/>
        <s v="Tonga, Solomon Islands, Kiribati"/>
        <s v="NMHS"/>
        <s v="COSPPac"/>
        <s v="Cook Islands, Fiji, Niue, Samoa, Solomon Islands, Tonga, Tuvalu"/>
        <s v="SOFF"/>
        <m/>
        <s v="BOM, NZ MetOffice, UK Met Office" u="1"/>
        <s v="WMO" u="1"/>
        <s v="Kat Paton" u="1"/>
        <s v="Cook Islands, Fiji, Niue, RMI, Samoa, Solomon Islands, Tonga, Tuvalu" u="1"/>
        <s v="TBC" u="1"/>
      </sharedItems>
    </cacheField>
    <cacheField name="Pacific-led (ie. decisions made by the Pacific, for the Pacific) institution (Yes/No)" numFmtId="0">
      <sharedItems containsNonDate="0" containsString="0" containsBlank="1"/>
    </cacheField>
    <cacheField name="Pacific institution type (regional, national, sub-national)" numFmtId="0">
      <sharedItems containsNonDate="0" containsString="0" containsBlank="1"/>
    </cacheField>
    <cacheField name="PMU Lead" numFmtId="0">
      <sharedItems containsBlank="1"/>
    </cacheField>
    <cacheField name="Project Manager Executing Agency" numFmtId="0">
      <sharedItems containsNonDate="0" containsString="0" containsBlank="1"/>
    </cacheField>
    <cacheField name="Procurement/ Recruitment" numFmtId="0">
      <sharedItems containsString="0" containsBlank="1" containsNumber="1" containsInteger="1" minValue="2025" maxValue="2026"/>
    </cacheField>
    <cacheField name="Actions" numFmtId="0">
      <sharedItems containsBlank="1" longText="1"/>
    </cacheField>
    <cacheField name="May 2026 DFAT spend" numFmtId="3">
      <sharedItems containsString="0" containsBlank="1" containsNumber="1" minValue="0" maxValue="1687500"/>
    </cacheField>
    <cacheField name="Beneficiaries" numFmtId="0">
      <sharedItems containsBlank="1"/>
    </cacheField>
    <cacheField name="Funding Modality" numFmtId="0">
      <sharedItems containsBlank="1" count="3">
        <s v="Other Support"/>
        <s v="Ring-Fenced"/>
        <m/>
      </sharedItems>
    </cacheField>
    <cacheField name="Total Allocated Funding USD" numFmtId="3">
      <sharedItems containsSemiMixedTypes="0" containsString="0" containsNumber="1" minValue="0" maxValue="12500000"/>
    </cacheField>
    <cacheField name="Co-funder" numFmtId="0">
      <sharedItems containsBlank="1"/>
    </cacheField>
    <cacheField name="Co-Funding &amp; In-Kind USD" numFmtId="3">
      <sharedItems containsBlank="1" containsMixedTypes="1" containsNumber="1" minValue="3000" maxValue="12500000"/>
    </cacheField>
    <cacheField name="Co-funding estimate basis" numFmtId="3">
      <sharedItems containsBlank="1"/>
    </cacheField>
    <cacheField name="WRP Funding Source" numFmtId="0">
      <sharedItems containsBlank="1" count="13">
        <s v="MFAT-NZ"/>
        <s v="MFAT- SPREP"/>
        <s v="UK WISER"/>
        <s v="DFAT"/>
        <m/>
        <s v="ADB"/>
        <s v="DFAT Inception"/>
        <s v="JICA"/>
        <s v="UNDRR"/>
        <s v="World Bank" u="1"/>
        <s v="World Bank / PRIF / DFAT" u="1"/>
        <s v="MFAT" u="1"/>
        <s v="World Bank / PRIF" u="1"/>
      </sharedItems>
    </cacheField>
    <cacheField name="WRP Funding Allocated USD" numFmtId="3">
      <sharedItems containsSemiMixedTypes="0" containsString="0" containsNumber="1" minValue="0" maxValue="3375000"/>
    </cacheField>
    <cacheField name="2024 Budget" numFmtId="3">
      <sharedItems/>
    </cacheField>
    <cacheField name="2025 Budget" numFmtId="3">
      <sharedItems containsBlank="1"/>
    </cacheField>
    <cacheField name="2024" numFmtId="3">
      <sharedItems containsString="0" containsBlank="1" containsNumber="1" minValue="290" maxValue="1906045"/>
    </cacheField>
    <cacheField name="2025" numFmtId="3">
      <sharedItems containsBlank="1" containsMixedTypes="1" containsNumber="1" minValue="0" maxValue="764160"/>
    </cacheField>
    <cacheField name="2026 Budget" numFmtId="0">
      <sharedItems containsString="0" containsBlank="1" containsNumber="1" minValue="0" maxValue="1994999.9999999998"/>
    </cacheField>
    <cacheField name="2027 Budget" numFmtId="0">
      <sharedItems containsString="0" containsBlank="1" containsNumber="1" minValue="0" maxValue="1360000"/>
    </cacheField>
    <cacheField name="2028 Budget" numFmtId="0">
      <sharedItems containsString="0" containsBlank="1" containsNumber="1" containsInteger="1" minValue="5000" maxValue="198632"/>
    </cacheField>
    <cacheField name="2029 Budget" numFmtId="0">
      <sharedItems containsString="0" containsBlank="1" containsNumber="1" containsInteger="1" minValue="5000" maxValue="198632"/>
    </cacheField>
    <cacheField name="2030 Budget" numFmtId="3">
      <sharedItems containsNonDate="0" containsString="0" containsBlank="1"/>
    </cacheField>
    <cacheField name="2031 Budget" numFmtId="3">
      <sharedItems containsNonDate="0" containsString="0" containsBlank="1"/>
    </cacheField>
    <cacheField name="2032 Budget" numFmtId="3">
      <sharedItems containsNonDate="0" containsString="0" containsBlank="1"/>
    </cacheField>
    <cacheField name="2033 Budget" numFmtId="3">
      <sharedItems containsNonDate="0" containsString="0" containsBlank="1"/>
    </cacheField>
    <cacheField name="2024 Actual" numFmtId="3">
      <sharedItems containsString="0" containsBlank="1" containsNumber="1" minValue="290" maxValue="1906045.3"/>
    </cacheField>
    <cacheField name="Jan-June 2025 Actual" numFmtId="3">
      <sharedItems containsString="0" containsBlank="1" containsNumber="1" minValue="640.89" maxValue="163132"/>
    </cacheField>
    <cacheField name="2025 Actual " numFmtId="3">
      <sharedItems containsString="0" containsBlank="1" containsNumber="1" minValue="4758.2299999999996" maxValue="764160"/>
    </cacheField>
    <cacheField name="Actual Spend USD" numFmtId="0">
      <sharedItems containsSemiMixedTypes="0" containsString="0" containsNumber="1" minValue="0" maxValue="2114256.2999999998"/>
    </cacheField>
    <cacheField name="Committed Spend USD" numFmtId="0">
      <sharedItems containsString="0" containsBlank="1" containsNumber="1" containsInteger="1" minValue="0" maxValue="0"/>
    </cacheField>
    <cacheField name="% Spend WRP funding" numFmtId="9">
      <sharedItems containsMixedTypes="1" containsNumber="1" minValue="0" maxValue="1.0822302574373615"/>
    </cacheField>
    <cacheField name="No. Risks (sig/severe)" numFmtId="0">
      <sharedItems containsString="0" containsBlank="1" containsNumber="1" containsInteger="1" minValue="0" maxValue="1"/>
    </cacheField>
    <cacheField name="No. Adaptions / Changes" numFmtId="0">
      <sharedItems containsString="0" containsBlank="1" containsNumber="1" containsInteger="1" minValue="1" maxValue="1"/>
    </cacheField>
    <cacheField name="Actions Identified (Y/N)" numFmtId="0">
      <sharedItems containsBlank="1"/>
    </cacheField>
    <cacheField name="No. Actions Identified" numFmtId="0">
      <sharedItems containsString="0" containsBlank="1" containsNumber="1" containsInteger="1" minValue="5" maxValue="10"/>
    </cacheField>
    <cacheField name="No. Action Completed" numFmtId="0">
      <sharedItems containsString="0" containsBlank="1" containsNumber="1" containsInteger="1" minValue="2" maxValue="2"/>
    </cacheField>
    <cacheField name="% Actions Completed" numFmtId="9">
      <sharedItems containsMixedTypes="1" containsNumber="1" minValue="0" maxValue="0.4"/>
    </cacheField>
    <cacheField name="Sustainability Actions % Implemented" numFmtId="9">
      <sharedItems containsString="0" containsBlank="1" containsNumber="1" minValue="0.3" maxValue="0.3"/>
    </cacheField>
    <cacheField name="GEDSI Actions % Implemented" numFmtId="9">
      <sharedItems containsString="0" containsBlank="1" containsNumber="1" minValue="0.5" maxValue="0.5"/>
    </cacheField>
    <cacheField name="ESS Actions % Implemented" numFmtId="9">
      <sharedItems containsString="0" containsBlank="1" containsNumber="1" containsInteger="1" minValue="1" maxValue="1"/>
    </cacheField>
    <cacheField name="MERL Table Reported (Y/N)" numFmtId="1">
      <sharedItems containsBlank="1"/>
    </cacheField>
    <cacheField name="No. Pacific Assets Registered" numFmtId="1">
      <sharedItems containsString="0" containsBlank="1" containsNumber="1" containsInteger="1" minValue="1" maxValue="1"/>
    </cacheField>
    <cacheField name="Progress" numFmtId="3">
      <sharedItems containsBlank="1"/>
    </cacheField>
    <cacheField name="Progress  Sep25" numFmtId="3">
      <sharedItems containsBlank="1"/>
    </cacheField>
    <cacheField name="% Progress" numFmtId="9">
      <sharedItems containsBlank="1" containsMixedTypes="1" containsNumber="1" minValue="0" maxValue="1" count="30">
        <n v="0.64"/>
        <n v="0.90601373498072757"/>
        <n v="0.1"/>
        <n v="1"/>
        <n v="0.75"/>
        <n v="0"/>
        <n v="0.3"/>
        <n v="0.15"/>
        <n v="0.2"/>
        <n v="0.02"/>
        <n v="0.6"/>
        <s v="-"/>
        <n v="0.95"/>
        <n v="0.5"/>
        <n v="0.8"/>
        <n v="0.05"/>
        <n v="0.85"/>
        <n v="0.01"/>
        <n v="0.7"/>
        <m/>
        <n v="0.4"/>
        <n v="0.25"/>
        <n v="0.64591666551593452" u="1"/>
        <n v="0.66196811507374864" u="1"/>
        <n v="0.56670459469265966" u="1"/>
        <n v="0.24682589730253054" u="1"/>
        <n v="0.49712086829641017" u="1"/>
        <n v="0.03" u="1"/>
        <n v="0.9" u="1"/>
        <n v="0.35" u="1"/>
      </sharedItems>
    </cacheField>
    <cacheField name="% Progress Sep25" numFmtId="9">
      <sharedItems containsBlank="1" containsMixedTypes="1" containsNumber="1" minValue="0" maxValue="1"/>
    </cacheField>
    <cacheField name="Status" numFmtId="2">
      <sharedItems containsBlank="1"/>
    </cacheField>
    <cacheField name="Status Sep25" numFmtId="2">
      <sharedItems containsBlank="1"/>
    </cacheField>
    <cacheField name="Comment Jan25 (financial variance 2025)" numFmtId="0">
      <sharedItems containsBlank="1"/>
    </cacheField>
    <cacheField name="Comment Sep25" numFmtId="0">
      <sharedItems containsBlank="1" longText="1"/>
    </cacheField>
    <cacheField name="Total" numFmtId="0" formula="#NAME?+#NAME?+#NAME?+#NAME?+#NAME?+#NAME?" databaseField="0"/>
    <cacheField name="LOA" numFmtId="0" formula="#NAME?" databaseField="0"/>
    <cacheField name="Variance" numFmtId="0" formula="'2025 Budget'-'2025'" databaseField="0"/>
    <cacheField name="% variance against budget" numFmtId="0" formula="('2025 Budget'-'2025')/'2025 Budget'"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x v="0"/>
    <x v="0"/>
    <x v="0"/>
    <n v="12"/>
    <x v="0"/>
    <x v="0"/>
    <n v="12"/>
    <m/>
    <m/>
    <s v=""/>
    <x v="0"/>
    <x v="0"/>
    <m/>
    <m/>
    <m/>
    <m/>
    <m/>
    <m/>
    <m/>
    <s v="All"/>
    <x v="0"/>
    <n v="1008186"/>
    <m/>
    <m/>
    <m/>
    <x v="0"/>
    <n v="1008186"/>
    <s v=""/>
    <s v=""/>
    <n v="694231"/>
    <n v="193639"/>
    <n v="120316"/>
    <m/>
    <m/>
    <m/>
    <m/>
    <m/>
    <m/>
    <m/>
    <n v="694231"/>
    <n v="111806.01999999999"/>
    <n v="193639"/>
    <n v="887870"/>
    <m/>
    <n v="0.88066090979243905"/>
    <n v="1"/>
    <n v="1"/>
    <s v="Y"/>
    <n v="5"/>
    <n v="2"/>
    <n v="0.4"/>
    <n v="0.3"/>
    <n v="0.5"/>
    <n v="1"/>
    <s v="Y"/>
    <n v="1"/>
    <s v="4 Implementation In Progress"/>
    <s v="4 Implementation In Progress"/>
    <x v="0"/>
    <n v="0.64"/>
    <s v="Green"/>
    <s v="Green"/>
    <s v="Effort less than forecasted"/>
    <s v="-"/>
  </r>
  <r>
    <x v="0"/>
    <x v="0"/>
    <x v="0"/>
    <n v="12"/>
    <x v="0"/>
    <x v="1"/>
    <n v="12"/>
    <m/>
    <m/>
    <s v=""/>
    <x v="1"/>
    <x v="1"/>
    <m/>
    <m/>
    <m/>
    <m/>
    <m/>
    <m/>
    <m/>
    <s v="All"/>
    <x v="0"/>
    <n v="464653"/>
    <m/>
    <m/>
    <m/>
    <x v="0"/>
    <n v="464653"/>
    <s v=""/>
    <s v=""/>
    <n v="160871"/>
    <n v="260376"/>
    <n v="30000"/>
    <n v="13406"/>
    <m/>
    <m/>
    <m/>
    <m/>
    <m/>
    <m/>
    <n v="160871"/>
    <n v="163132"/>
    <n v="260111"/>
    <n v="420982"/>
    <m/>
    <n v="0.90601373498072757"/>
    <n v="1"/>
    <n v="1"/>
    <s v="Y"/>
    <n v="10"/>
    <m/>
    <n v="0"/>
    <m/>
    <m/>
    <m/>
    <s v="Y"/>
    <n v="1"/>
    <s v="4 Implementation In Progress"/>
    <s v="4 Implementation In Progress"/>
    <x v="1"/>
    <n v="0.90601373498072757"/>
    <s v="Green"/>
    <s v="Green"/>
    <s v="Effort greater than forecasted"/>
    <m/>
  </r>
  <r>
    <x v="0"/>
    <x v="0"/>
    <x v="1"/>
    <n v="11"/>
    <x v="1"/>
    <x v="2"/>
    <n v="11"/>
    <s v="05"/>
    <m/>
    <s v="1105"/>
    <x v="1"/>
    <x v="2"/>
    <m/>
    <m/>
    <s v="Ofa"/>
    <m/>
    <n v="2025"/>
    <s v="[1/8/25] Awaiting tender to close mid August"/>
    <m/>
    <s v="All"/>
    <x v="1"/>
    <n v="54069.565217391311"/>
    <m/>
    <m/>
    <m/>
    <x v="1"/>
    <n v="54069.565217391311"/>
    <s v=""/>
    <s v=""/>
    <m/>
    <m/>
    <n v="54069.565217391311"/>
    <m/>
    <m/>
    <m/>
    <m/>
    <m/>
    <m/>
    <m/>
    <m/>
    <m/>
    <m/>
    <n v="0"/>
    <m/>
    <n v="0"/>
    <n v="1"/>
    <m/>
    <s v="N"/>
    <m/>
    <m/>
    <e v="#DIV/0!"/>
    <m/>
    <m/>
    <m/>
    <m/>
    <m/>
    <s v="3 Agreement"/>
    <s v="3 Agreement"/>
    <x v="2"/>
    <n v="0.1"/>
    <s v="Green"/>
    <s v="Green"/>
    <s v="Procurement deferred to 2026."/>
    <s v="-"/>
  </r>
  <r>
    <x v="1"/>
    <x v="1"/>
    <x v="2"/>
    <n v="41"/>
    <x v="2"/>
    <x v="3"/>
    <n v="41"/>
    <s v="07"/>
    <m/>
    <s v="4107"/>
    <x v="1"/>
    <x v="2"/>
    <m/>
    <m/>
    <s v="Salesa"/>
    <m/>
    <m/>
    <m/>
    <m/>
    <s v="All"/>
    <x v="1"/>
    <n v="55234.94"/>
    <m/>
    <m/>
    <m/>
    <x v="2"/>
    <n v="55234.94"/>
    <s v=""/>
    <s v=""/>
    <n v="55234.94"/>
    <m/>
    <m/>
    <m/>
    <m/>
    <m/>
    <m/>
    <m/>
    <m/>
    <m/>
    <n v="55234.94"/>
    <m/>
    <m/>
    <n v="55234.94"/>
    <m/>
    <n v="1"/>
    <n v="1"/>
    <m/>
    <m/>
    <m/>
    <m/>
    <e v="#DIV/0!"/>
    <m/>
    <m/>
    <m/>
    <m/>
    <m/>
    <s v="5 Completion Evaluation"/>
    <s v="5 Completion Evaluation"/>
    <x v="3"/>
    <n v="1"/>
    <s v="Green"/>
    <s v="Green"/>
    <s v="."/>
    <s v="Workshop held in Melbourne from 11-14 June. Closure Report submitted. "/>
  </r>
  <r>
    <x v="0"/>
    <x v="2"/>
    <x v="3"/>
    <n v="81"/>
    <x v="3"/>
    <x v="4"/>
    <n v="81"/>
    <s v="01"/>
    <m/>
    <s v="8101"/>
    <x v="1"/>
    <x v="2"/>
    <m/>
    <m/>
    <s v="Ofa"/>
    <m/>
    <m/>
    <m/>
    <m/>
    <s v="All"/>
    <x v="1"/>
    <n v="190344.51"/>
    <m/>
    <m/>
    <m/>
    <x v="2"/>
    <n v="190344.51"/>
    <s v=""/>
    <e v="#REF!"/>
    <m/>
    <n v="101815.47"/>
    <n v="88529.04"/>
    <m/>
    <m/>
    <m/>
    <m/>
    <m/>
    <m/>
    <m/>
    <m/>
    <n v="75651.12"/>
    <n v="101815.47"/>
    <n v="101815.47"/>
    <m/>
    <n v="0.53490100660113604"/>
    <n v="1"/>
    <m/>
    <m/>
    <m/>
    <m/>
    <e v="#DIV/0!"/>
    <m/>
    <m/>
    <m/>
    <m/>
    <m/>
    <s v="4 Implementation In Progress"/>
    <s v="4 Implementation In Progress"/>
    <x v="4"/>
    <n v="0.75"/>
    <s v="Green"/>
    <s v="Green"/>
    <s v="Delayed implementation. Budget tranferred to 2026."/>
    <s v="GEDSI strategy prepared and tabled for SC approval."/>
  </r>
  <r>
    <x v="0"/>
    <x v="2"/>
    <x v="3"/>
    <n v="81"/>
    <x v="3"/>
    <x v="4"/>
    <n v="81"/>
    <m/>
    <m/>
    <s v=""/>
    <x v="1"/>
    <x v="2"/>
    <m/>
    <m/>
    <s v="Ofa"/>
    <m/>
    <m/>
    <m/>
    <n v="0"/>
    <s v="All"/>
    <x v="1"/>
    <n v="15000"/>
    <m/>
    <m/>
    <m/>
    <x v="3"/>
    <n v="15000"/>
    <s v=""/>
    <s v=""/>
    <m/>
    <m/>
    <m/>
    <n v="5000"/>
    <n v="5000"/>
    <n v="5000"/>
    <m/>
    <m/>
    <m/>
    <m/>
    <m/>
    <m/>
    <m/>
    <n v="0"/>
    <m/>
    <n v="0"/>
    <n v="1"/>
    <m/>
    <m/>
    <m/>
    <m/>
    <e v="#DIV/0!"/>
    <m/>
    <m/>
    <m/>
    <m/>
    <m/>
    <s v="Not Started"/>
    <m/>
    <x v="5"/>
    <m/>
    <s v="-"/>
    <m/>
    <s v="."/>
    <m/>
  </r>
  <r>
    <x v="2"/>
    <x v="3"/>
    <x v="4"/>
    <n v="54"/>
    <x v="4"/>
    <x v="5"/>
    <n v="54"/>
    <s v="01"/>
    <m/>
    <s v="5401"/>
    <x v="1"/>
    <x v="2"/>
    <m/>
    <m/>
    <s v="Terry"/>
    <m/>
    <n v="2025"/>
    <s v="[1/8/25] Get quotes from Tokelau and Niue for translation of COPE Booklets, for WRP to procure"/>
    <m/>
    <s v="Tokelau, Niue"/>
    <x v="1"/>
    <n v="107587.375"/>
    <m/>
    <m/>
    <m/>
    <x v="2"/>
    <n v="107587.375"/>
    <s v=""/>
    <s v=""/>
    <m/>
    <m/>
    <n v="107587.375"/>
    <m/>
    <m/>
    <m/>
    <m/>
    <m/>
    <m/>
    <m/>
    <m/>
    <m/>
    <m/>
    <n v="0"/>
    <m/>
    <n v="0"/>
    <n v="1"/>
    <m/>
    <m/>
    <m/>
    <m/>
    <e v="#DIV/0!"/>
    <m/>
    <m/>
    <m/>
    <m/>
    <m/>
    <s v="3 Agreement"/>
    <s v="3 Agreement"/>
    <x v="6"/>
    <n v="0.3"/>
    <s v="Amber"/>
    <s v="Amber"/>
    <s v="Deferred to 2026 after PMU staff recruited"/>
    <s v="Progressing procurement. Delays against WISER project timeline. "/>
  </r>
  <r>
    <x v="3"/>
    <x v="4"/>
    <x v="5"/>
    <n v="26"/>
    <x v="5"/>
    <x v="6"/>
    <n v="26"/>
    <s v="01"/>
    <m/>
    <s v="2601"/>
    <x v="1"/>
    <x v="2"/>
    <m/>
    <m/>
    <s v="Terry"/>
    <m/>
    <n v="2025"/>
    <s v="[1/8/25] 'Ofa to chase WMO for cost for this workshop"/>
    <m/>
    <s v="All"/>
    <x v="1"/>
    <n v="109824.09964"/>
    <m/>
    <m/>
    <m/>
    <x v="2"/>
    <n v="109824.09964"/>
    <s v=""/>
    <s v=""/>
    <m/>
    <m/>
    <n v="109824.09964"/>
    <m/>
    <m/>
    <m/>
    <m/>
    <m/>
    <m/>
    <m/>
    <m/>
    <m/>
    <m/>
    <n v="0"/>
    <m/>
    <n v="0"/>
    <n v="1"/>
    <m/>
    <m/>
    <m/>
    <m/>
    <e v="#DIV/0!"/>
    <m/>
    <m/>
    <m/>
    <m/>
    <m/>
    <s v="Not Started"/>
    <s v="Not Started"/>
    <x v="5"/>
    <n v="0"/>
    <s v="-"/>
    <s v="-"/>
    <s v="Training deferred to 2026."/>
    <s v="-"/>
  </r>
  <r>
    <x v="1"/>
    <x v="1"/>
    <x v="2"/>
    <n v="41"/>
    <x v="2"/>
    <x v="7"/>
    <n v="41"/>
    <s v="01"/>
    <n v="2501"/>
    <s v="4101"/>
    <x v="1"/>
    <x v="3"/>
    <m/>
    <m/>
    <s v="Ofa"/>
    <m/>
    <n v="2025"/>
    <s v="[1/8/25] Honsol to discuss with procurement whether to use LOA or standard contract with Bureau. Salesa to support discussions with SPREP legal on non-binding language. Concept Note finalised and work is progressing. "/>
    <n v="0"/>
    <s v="All"/>
    <x v="1"/>
    <n v="30000"/>
    <m/>
    <m/>
    <m/>
    <x v="3"/>
    <n v="30000"/>
    <s v=""/>
    <s v=""/>
    <m/>
    <m/>
    <n v="30000"/>
    <m/>
    <m/>
    <m/>
    <m/>
    <m/>
    <m/>
    <m/>
    <m/>
    <m/>
    <m/>
    <n v="0"/>
    <m/>
    <n v="0"/>
    <n v="0"/>
    <m/>
    <m/>
    <m/>
    <m/>
    <e v="#DIV/0!"/>
    <m/>
    <m/>
    <m/>
    <m/>
    <m/>
    <s v="5 Completion Evaluation"/>
    <s v="4 Implementation In Progress"/>
    <x v="3"/>
    <n v="0.2"/>
    <s v="Green"/>
    <s v="Green"/>
    <s v="Invoicing in 2026, though work completed in 2025."/>
    <s v="Progress as of Sep 2025 is report complete being tabled to steering committee."/>
  </r>
  <r>
    <x v="1"/>
    <x v="1"/>
    <x v="2"/>
    <n v="41"/>
    <x v="2"/>
    <x v="8"/>
    <n v="41"/>
    <s v="08"/>
    <n v="2602"/>
    <s v="4108"/>
    <x v="1"/>
    <x v="4"/>
    <m/>
    <m/>
    <s v="Ofa"/>
    <m/>
    <n v="2025"/>
    <s v="[1/8/25] Paused until outcome of peer review in Sept."/>
    <n v="0"/>
    <s v="All"/>
    <x v="1"/>
    <n v="75000"/>
    <m/>
    <m/>
    <m/>
    <x v="3"/>
    <n v="75000"/>
    <s v=""/>
    <s v=""/>
    <m/>
    <m/>
    <n v="75000"/>
    <m/>
    <m/>
    <m/>
    <m/>
    <m/>
    <m/>
    <m/>
    <m/>
    <m/>
    <m/>
    <n v="0"/>
    <m/>
    <n v="0"/>
    <m/>
    <m/>
    <m/>
    <m/>
    <m/>
    <e v="#DIV/0!"/>
    <m/>
    <m/>
    <m/>
    <m/>
    <m/>
    <s v="Not Started"/>
    <s v="Not Started"/>
    <x v="5"/>
    <n v="0"/>
    <s v="-"/>
    <s v="-"/>
    <s v="Deferred to 2026. Concept note and project team formation took time."/>
    <s v="Updated work plan cost based on IFP peer review estimates for architecture design, subject to SC approval. "/>
  </r>
  <r>
    <x v="1"/>
    <x v="1"/>
    <x v="2"/>
    <n v="41"/>
    <x v="2"/>
    <x v="9"/>
    <n v="41"/>
    <s v="04"/>
    <n v="2602"/>
    <s v="4104"/>
    <x v="0"/>
    <x v="4"/>
    <m/>
    <m/>
    <s v="Ofa"/>
    <m/>
    <n v="2026"/>
    <m/>
    <m/>
    <s v="All"/>
    <x v="1"/>
    <n v="1550000"/>
    <m/>
    <m/>
    <m/>
    <x v="3"/>
    <n v="1550000"/>
    <s v=""/>
    <s v=""/>
    <m/>
    <m/>
    <n v="750000"/>
    <n v="800000"/>
    <m/>
    <m/>
    <m/>
    <m/>
    <m/>
    <m/>
    <m/>
    <m/>
    <m/>
    <n v="0"/>
    <m/>
    <n v="0"/>
    <m/>
    <m/>
    <m/>
    <m/>
    <m/>
    <e v="#DIV/0!"/>
    <m/>
    <m/>
    <m/>
    <m/>
    <m/>
    <s v="Not Started"/>
    <s v="Not Started"/>
    <x v="5"/>
    <n v="0"/>
    <s v="-"/>
    <s v="-"/>
    <s v="."/>
    <s v="Upated work plan cost based on IFP peer review estimates for Phase 1 and 2. Subject to SC approval. Need to look for co-funding for Phase 3. Most likely from the World bank and UNEP/UNDP SOFF related work on data exchange. "/>
  </r>
  <r>
    <x v="0"/>
    <x v="0"/>
    <x v="6"/>
    <n v="13"/>
    <x v="6"/>
    <x v="10"/>
    <n v="13"/>
    <s v="03"/>
    <m/>
    <s v="1303"/>
    <x v="1"/>
    <x v="2"/>
    <m/>
    <m/>
    <s v="Ofa"/>
    <m/>
    <m/>
    <m/>
    <m/>
    <s v="All"/>
    <x v="1"/>
    <n v="0"/>
    <m/>
    <m/>
    <m/>
    <x v="1"/>
    <n v="0"/>
    <s v=""/>
    <s v=""/>
    <m/>
    <m/>
    <m/>
    <m/>
    <m/>
    <m/>
    <m/>
    <m/>
    <m/>
    <m/>
    <m/>
    <m/>
    <m/>
    <n v="0"/>
    <m/>
    <s v="-"/>
    <m/>
    <m/>
    <m/>
    <m/>
    <m/>
    <e v="#DIV/0!"/>
    <m/>
    <m/>
    <m/>
    <m/>
    <m/>
    <s v="Paused"/>
    <s v="Paused"/>
    <x v="5"/>
    <n v="0"/>
    <s v="-"/>
    <s v="-"/>
    <s v="."/>
    <s v="Funding reallocated to Investment Plan review budget, as there may not be a need for this workshop."/>
  </r>
  <r>
    <x v="1"/>
    <x v="5"/>
    <x v="7"/>
    <n v="47"/>
    <x v="7"/>
    <x v="11"/>
    <n v="47"/>
    <s v="09"/>
    <n v="2509"/>
    <s v="4709"/>
    <x v="1"/>
    <x v="5"/>
    <m/>
    <m/>
    <s v="Terry"/>
    <m/>
    <n v="2025"/>
    <s v="[1/8/25] Paused until outcome of peer review in Sept. If proceed will need LOA with BOM"/>
    <n v="108469.375"/>
    <s v="All"/>
    <x v="1"/>
    <n v="216938.75"/>
    <m/>
    <m/>
    <m/>
    <x v="3"/>
    <n v="216938.75"/>
    <s v=""/>
    <s v=""/>
    <m/>
    <m/>
    <n v="216938.75"/>
    <m/>
    <m/>
    <m/>
    <m/>
    <m/>
    <m/>
    <m/>
    <m/>
    <m/>
    <m/>
    <n v="0"/>
    <m/>
    <n v="0"/>
    <n v="0"/>
    <m/>
    <m/>
    <m/>
    <m/>
    <e v="#DIV/0!"/>
    <m/>
    <m/>
    <m/>
    <m/>
    <m/>
    <s v="4 Implementation In Progress"/>
    <s v="Paused"/>
    <x v="7"/>
    <n v="0"/>
    <s v="Green"/>
    <s v="-"/>
    <s v="Invoicing in 2026, specialist engaged in 2025."/>
    <s v="Awaiting SC direction."/>
  </r>
  <r>
    <x v="0"/>
    <x v="0"/>
    <x v="0"/>
    <n v="12"/>
    <x v="0"/>
    <x v="12"/>
    <n v="12"/>
    <s v="02"/>
    <m/>
    <s v="1202"/>
    <x v="1"/>
    <x v="2"/>
    <m/>
    <m/>
    <s v="Honsol"/>
    <m/>
    <m/>
    <m/>
    <m/>
    <s v="All"/>
    <x v="1"/>
    <n v="84877.620652173893"/>
    <m/>
    <m/>
    <m/>
    <x v="1"/>
    <n v="84877.620652173893"/>
    <s v=""/>
    <s v=""/>
    <n v="27584.2"/>
    <n v="27293.42"/>
    <n v="30000.000652173901"/>
    <m/>
    <m/>
    <m/>
    <m/>
    <m/>
    <m/>
    <m/>
    <n v="27584.2"/>
    <n v="28422.68"/>
    <n v="27293.42"/>
    <n v="54877.619999999995"/>
    <m/>
    <n v="0.64654993363783064"/>
    <m/>
    <m/>
    <m/>
    <m/>
    <m/>
    <e v="#DIV/0!"/>
    <m/>
    <m/>
    <m/>
    <m/>
    <m/>
    <s v="4 Implementation In Progress"/>
    <s v="4 Implementation In Progress"/>
    <x v="6"/>
    <n v="0.3"/>
    <s v="Green"/>
    <s v="Green"/>
    <s v="."/>
    <s v="-"/>
  </r>
  <r>
    <x v="0"/>
    <x v="0"/>
    <x v="1"/>
    <n v="11"/>
    <x v="1"/>
    <x v="13"/>
    <n v="11"/>
    <s v="01"/>
    <m/>
    <s v="1101"/>
    <x v="1"/>
    <x v="2"/>
    <m/>
    <m/>
    <s v="Ofa"/>
    <m/>
    <m/>
    <m/>
    <m/>
    <s v="All"/>
    <x v="1"/>
    <n v="34758.229999999996"/>
    <m/>
    <m/>
    <m/>
    <x v="1"/>
    <n v="34758.229999999996"/>
    <s v=""/>
    <s v=""/>
    <m/>
    <n v="4758.2299999999996"/>
    <n v="20000"/>
    <n v="10000"/>
    <m/>
    <m/>
    <m/>
    <m/>
    <m/>
    <m/>
    <m/>
    <m/>
    <n v="4758.2299999999996"/>
    <n v="4758.2299999999996"/>
    <m/>
    <n v="0.13689506053674194"/>
    <m/>
    <m/>
    <m/>
    <m/>
    <m/>
    <e v="#DIV/0!"/>
    <m/>
    <m/>
    <m/>
    <m/>
    <m/>
    <s v="Not Started"/>
    <s v="Not Started"/>
    <x v="5"/>
    <n v="0"/>
    <s v="-"/>
    <s v="-"/>
    <s v="Delayed recruitment of Communication Officer. Funds deferred to 2026 and 2027."/>
    <s v="-"/>
  </r>
  <r>
    <x v="0"/>
    <x v="0"/>
    <x v="0"/>
    <n v="12"/>
    <x v="0"/>
    <x v="14"/>
    <n v="12"/>
    <s v="01"/>
    <m/>
    <s v="1201"/>
    <x v="1"/>
    <x v="2"/>
    <m/>
    <m/>
    <s v="Ofa"/>
    <m/>
    <m/>
    <m/>
    <m/>
    <s v="All"/>
    <x v="1"/>
    <n v="180264.46608695656"/>
    <m/>
    <m/>
    <m/>
    <x v="1"/>
    <n v="180264.46608695656"/>
    <s v=""/>
    <s v=""/>
    <m/>
    <n v="96456.640000000014"/>
    <n v="83807.826086956527"/>
    <m/>
    <m/>
    <m/>
    <m/>
    <m/>
    <m/>
    <m/>
    <m/>
    <n v="44101.86"/>
    <n v="96456.640000000014"/>
    <n v="96456.640000000014"/>
    <m/>
    <n v="0.53508404675534305"/>
    <m/>
    <m/>
    <m/>
    <m/>
    <m/>
    <e v="#DIV/0!"/>
    <m/>
    <m/>
    <m/>
    <m/>
    <m/>
    <s v="4 Implementation In Progress"/>
    <s v="4 Implementation In Progress"/>
    <x v="8"/>
    <n v="0.2"/>
    <s v="Green"/>
    <s v="Green"/>
    <s v="."/>
    <s v="-"/>
  </r>
  <r>
    <x v="4"/>
    <x v="6"/>
    <x v="8"/>
    <n v="32"/>
    <x v="8"/>
    <x v="15"/>
    <n v="32"/>
    <s v="06"/>
    <m/>
    <s v="3206"/>
    <x v="1"/>
    <x v="2"/>
    <m/>
    <m/>
    <s v="Marica"/>
    <m/>
    <n v="2025"/>
    <s v="[1/8/25] 'Ofa to confirm with NZ will they be developing this"/>
    <n v="0"/>
    <s v="All"/>
    <x v="1"/>
    <n v="10000"/>
    <m/>
    <m/>
    <m/>
    <x v="3"/>
    <n v="10000"/>
    <s v=""/>
    <s v=""/>
    <m/>
    <m/>
    <m/>
    <n v="10000"/>
    <m/>
    <m/>
    <m/>
    <m/>
    <m/>
    <m/>
    <m/>
    <m/>
    <m/>
    <n v="0"/>
    <m/>
    <n v="0"/>
    <m/>
    <m/>
    <m/>
    <m/>
    <m/>
    <e v="#DIV/0!"/>
    <m/>
    <m/>
    <m/>
    <m/>
    <m/>
    <s v="Not Started"/>
    <s v="Not Started"/>
    <x v="5"/>
    <n v="0"/>
    <s v="-"/>
    <s v="-"/>
    <s v="."/>
    <s v="Need to identify which organisation will do this work. "/>
  </r>
  <r>
    <x v="4"/>
    <x v="6"/>
    <x v="8"/>
    <n v="32"/>
    <x v="8"/>
    <x v="16"/>
    <n v="32"/>
    <s v="04"/>
    <m/>
    <s v="3204"/>
    <x v="0"/>
    <x v="2"/>
    <m/>
    <m/>
    <s v="Marica"/>
    <m/>
    <n v="2025"/>
    <s v="[1/8/25] Tender specifications from BoM needs to be reviewed. Need to discuss if BoM does procurement or SPREP?"/>
    <n v="37500"/>
    <s v="All"/>
    <x v="1"/>
    <n v="230000"/>
    <m/>
    <m/>
    <m/>
    <x v="3"/>
    <n v="230000"/>
    <s v=""/>
    <s v=""/>
    <m/>
    <m/>
    <n v="75000"/>
    <n v="125000"/>
    <n v="20000"/>
    <n v="10000"/>
    <m/>
    <m/>
    <m/>
    <m/>
    <m/>
    <m/>
    <m/>
    <n v="0"/>
    <m/>
    <n v="0"/>
    <m/>
    <m/>
    <m/>
    <m/>
    <m/>
    <e v="#DIV/0!"/>
    <m/>
    <m/>
    <m/>
    <m/>
    <m/>
    <s v="1 Concept"/>
    <s v="1 Concept"/>
    <x v="9"/>
    <n v="0.02"/>
    <s v="Green"/>
    <s v="Green"/>
    <s v="."/>
    <s v="Concept Note drafted and provided to World Bank to TA for this work. In discussion with COSPPac to collaborate with their procurement of an asset management system which is in their work scope also. "/>
  </r>
  <r>
    <x v="0"/>
    <x v="0"/>
    <x v="6"/>
    <n v="13"/>
    <x v="6"/>
    <x v="17"/>
    <n v="13"/>
    <s v="02"/>
    <m/>
    <s v="1302"/>
    <x v="1"/>
    <x v="6"/>
    <m/>
    <m/>
    <s v="Ofa"/>
    <m/>
    <m/>
    <m/>
    <m/>
    <s v="All"/>
    <x v="0"/>
    <n v="81434"/>
    <m/>
    <n v="3000"/>
    <m/>
    <x v="0"/>
    <n v="78434"/>
    <s v=""/>
    <s v=""/>
    <m/>
    <n v="57948"/>
    <n v="20486"/>
    <m/>
    <m/>
    <m/>
    <m/>
    <m/>
    <m/>
    <m/>
    <m/>
    <n v="28905"/>
    <n v="57948"/>
    <n v="57948"/>
    <m/>
    <n v="0.738812249789632"/>
    <m/>
    <m/>
    <m/>
    <m/>
    <m/>
    <e v="#DIV/0!"/>
    <m/>
    <m/>
    <m/>
    <m/>
    <m/>
    <s v="4 Implementation In Progress"/>
    <s v="4 Implementation In Progress"/>
    <x v="10"/>
    <n v="0.6"/>
    <s v="Green"/>
    <s v="Green"/>
    <s v="."/>
    <s v="Progress as of Sep 2025 is framework complete being tabled to steering committee."/>
  </r>
  <r>
    <x v="0"/>
    <x v="0"/>
    <x v="0"/>
    <n v="12"/>
    <x v="0"/>
    <x v="18"/>
    <n v="12"/>
    <s v="03"/>
    <m/>
    <s v="1203"/>
    <x v="1"/>
    <x v="2"/>
    <m/>
    <m/>
    <s v="Honsol"/>
    <m/>
    <m/>
    <m/>
    <m/>
    <s v="-"/>
    <x v="1"/>
    <n v="16575.839999999997"/>
    <m/>
    <m/>
    <m/>
    <x v="1"/>
    <n v="16575.839999999997"/>
    <s v=""/>
    <s v=""/>
    <n v="1508.18"/>
    <n v="15067.659999999996"/>
    <m/>
    <m/>
    <m/>
    <m/>
    <m/>
    <m/>
    <m/>
    <m/>
    <n v="1508.18"/>
    <n v="2915.16"/>
    <n v="15067.659999999996"/>
    <n v="16575.839999999997"/>
    <m/>
    <n v="1"/>
    <m/>
    <m/>
    <m/>
    <m/>
    <m/>
    <e v="#DIV/0!"/>
    <m/>
    <m/>
    <m/>
    <m/>
    <m/>
    <s v="4 Implementation In Progress"/>
    <s v="4 Implementation In Progress"/>
    <x v="8"/>
    <n v="0.2"/>
    <s v="Green"/>
    <s v="Green"/>
    <s v="Actual cost higher than budgeted."/>
    <s v="-"/>
  </r>
  <r>
    <x v="4"/>
    <x v="6"/>
    <x v="9"/>
    <n v="73"/>
    <x v="9"/>
    <x v="19"/>
    <n v="73"/>
    <s v="07"/>
    <n v="2510"/>
    <s v="7307"/>
    <x v="0"/>
    <x v="7"/>
    <m/>
    <m/>
    <s v="Marica"/>
    <m/>
    <n v="2025"/>
    <s v="[1/8/25] 'Ofa's chase NZMet for Concept Note and cost to Project Manage Radar and for copy of Solomon specfications to review._x000a__x000a_[13/8/25] Start routing process for NZ Met, need to provide Why go direct. Need concept note and cost. Due 16 Sept for Sept 30 Procurement meeting._x000a__x000a_Awaiting Pacific Radar Strategy managed by NZMFAT or an asset policy that requires standardise supply of radars. Planning to tender and establish radar preferred supplier list."/>
    <n v="1687500"/>
    <s v="Samoa"/>
    <x v="1"/>
    <n v="3375000"/>
    <m/>
    <m/>
    <m/>
    <x v="3"/>
    <n v="3375000"/>
    <s v=""/>
    <s v=""/>
    <m/>
    <m/>
    <n v="1994999.9999999998"/>
    <n v="1360000"/>
    <n v="10000"/>
    <n v="10000"/>
    <m/>
    <m/>
    <m/>
    <m/>
    <m/>
    <m/>
    <m/>
    <n v="0"/>
    <m/>
    <n v="0"/>
    <m/>
    <m/>
    <m/>
    <m/>
    <m/>
    <e v="#DIV/0!"/>
    <m/>
    <m/>
    <m/>
    <m/>
    <m/>
    <s v="3 Agreement"/>
    <s v="3 Agreement"/>
    <x v="2"/>
    <n v="0.1"/>
    <s v="Green"/>
    <s v="Green"/>
    <s v="."/>
    <s v="Preparing EOI procurement to be released to establish ongoing preferred supplier contracts. Progress as of Sep 2025 is EOI released."/>
  </r>
  <r>
    <x v="4"/>
    <x v="6"/>
    <x v="9"/>
    <n v="73"/>
    <x v="9"/>
    <x v="20"/>
    <m/>
    <m/>
    <m/>
    <s v=""/>
    <x v="2"/>
    <x v="5"/>
    <m/>
    <m/>
    <m/>
    <m/>
    <m/>
    <m/>
    <m/>
    <s v="PNG"/>
    <x v="2"/>
    <n v="2000000"/>
    <s v="DFAT"/>
    <n v="2000000"/>
    <m/>
    <x v="4"/>
    <n v="0"/>
    <s v=""/>
    <s v=""/>
    <m/>
    <m/>
    <m/>
    <m/>
    <m/>
    <m/>
    <m/>
    <m/>
    <m/>
    <m/>
    <m/>
    <m/>
    <m/>
    <n v="0"/>
    <m/>
    <s v="-"/>
    <m/>
    <m/>
    <m/>
    <m/>
    <m/>
    <e v="#DIV/0!"/>
    <m/>
    <m/>
    <m/>
    <m/>
    <m/>
    <m/>
    <m/>
    <x v="11"/>
    <s v="-"/>
    <s v="-"/>
    <s v="-"/>
    <s v="."/>
    <s v="Site selection in progress. DFAT Port Morsby in principle supportive of regional standardised procurement approach through Samoa radar. "/>
  </r>
  <r>
    <x v="4"/>
    <x v="6"/>
    <x v="9"/>
    <n v="73"/>
    <x v="9"/>
    <x v="21"/>
    <m/>
    <m/>
    <m/>
    <s v=""/>
    <x v="2"/>
    <x v="8"/>
    <m/>
    <m/>
    <m/>
    <m/>
    <m/>
    <m/>
    <m/>
    <m/>
    <x v="2"/>
    <n v="12500000"/>
    <s v="UNEP"/>
    <n v="12500000"/>
    <m/>
    <x v="4"/>
    <n v="0"/>
    <s v=""/>
    <s v=""/>
    <m/>
    <m/>
    <m/>
    <m/>
    <m/>
    <m/>
    <m/>
    <m/>
    <m/>
    <m/>
    <m/>
    <m/>
    <m/>
    <n v="0"/>
    <m/>
    <s v="-"/>
    <m/>
    <m/>
    <m/>
    <m/>
    <m/>
    <e v="#DIV/0!"/>
    <m/>
    <m/>
    <m/>
    <m/>
    <m/>
    <m/>
    <m/>
    <x v="11"/>
    <s v="-"/>
    <s v="-"/>
    <s v="-"/>
    <s v="."/>
    <s v="-"/>
  </r>
  <r>
    <x v="4"/>
    <x v="6"/>
    <x v="9"/>
    <n v="73"/>
    <x v="9"/>
    <x v="22"/>
    <n v="73"/>
    <s v="02"/>
    <m/>
    <s v="7302"/>
    <x v="0"/>
    <x v="2"/>
    <m/>
    <m/>
    <m/>
    <m/>
    <m/>
    <m/>
    <m/>
    <s v="FSM"/>
    <x v="2"/>
    <n v="0"/>
    <m/>
    <m/>
    <m/>
    <x v="3"/>
    <n v="0"/>
    <s v=""/>
    <s v=""/>
    <m/>
    <m/>
    <m/>
    <m/>
    <m/>
    <m/>
    <m/>
    <m/>
    <m/>
    <m/>
    <m/>
    <m/>
    <m/>
    <n v="0"/>
    <m/>
    <s v="-"/>
    <m/>
    <m/>
    <m/>
    <m/>
    <m/>
    <e v="#DIV/0!"/>
    <m/>
    <m/>
    <m/>
    <m/>
    <m/>
    <s v="Not Started"/>
    <s v="Not Started"/>
    <x v="5"/>
    <n v="0"/>
    <s v="-"/>
    <s v="-"/>
    <s v="."/>
    <s v="-"/>
  </r>
  <r>
    <x v="4"/>
    <x v="6"/>
    <x v="9"/>
    <n v="73"/>
    <x v="9"/>
    <x v="23"/>
    <n v="73"/>
    <s v="03"/>
    <m/>
    <s v="7303"/>
    <x v="0"/>
    <x v="2"/>
    <m/>
    <m/>
    <m/>
    <m/>
    <m/>
    <m/>
    <m/>
    <s v="Kiribati"/>
    <x v="2"/>
    <n v="0"/>
    <m/>
    <m/>
    <m/>
    <x v="3"/>
    <n v="0"/>
    <s v=""/>
    <s v=""/>
    <m/>
    <m/>
    <m/>
    <m/>
    <m/>
    <m/>
    <m/>
    <m/>
    <m/>
    <m/>
    <m/>
    <m/>
    <m/>
    <n v="0"/>
    <m/>
    <s v="-"/>
    <m/>
    <m/>
    <m/>
    <m/>
    <m/>
    <e v="#DIV/0!"/>
    <m/>
    <m/>
    <m/>
    <m/>
    <m/>
    <s v="Not Started"/>
    <s v="Not Started"/>
    <x v="5"/>
    <n v="0"/>
    <s v="-"/>
    <s v="-"/>
    <s v="."/>
    <s v="-"/>
  </r>
  <r>
    <x v="3"/>
    <x v="7"/>
    <x v="10"/>
    <n v="21"/>
    <x v="10"/>
    <x v="24"/>
    <n v="21"/>
    <s v="02"/>
    <m/>
    <s v="2102"/>
    <x v="1"/>
    <x v="2"/>
    <m/>
    <m/>
    <s v="Ofa"/>
    <m/>
    <m/>
    <m/>
    <m/>
    <s v="All"/>
    <x v="1"/>
    <n v="64228.479999999996"/>
    <m/>
    <m/>
    <m/>
    <x v="1"/>
    <n v="64228.479999999996"/>
    <s v=""/>
    <s v=""/>
    <m/>
    <n v="64228.479999999996"/>
    <m/>
    <m/>
    <m/>
    <m/>
    <m/>
    <m/>
    <m/>
    <m/>
    <m/>
    <m/>
    <n v="64228.479999999996"/>
    <n v="64228.479999999996"/>
    <m/>
    <n v="1"/>
    <m/>
    <m/>
    <m/>
    <m/>
    <m/>
    <e v="#DIV/0!"/>
    <m/>
    <m/>
    <m/>
    <m/>
    <m/>
    <s v="5 Completion Evaluation"/>
    <s v="4 Implementation In Progress"/>
    <x v="12"/>
    <n v="0.8"/>
    <s v="Green"/>
    <s v="Green"/>
    <s v="Actual cost lower than forecasted"/>
    <s v="Workshop took place 14-18 July 2025 in Suva with key stakeholders and specialists invited. Minutes and outcomes still to be shared. "/>
  </r>
  <r>
    <x v="3"/>
    <x v="4"/>
    <x v="11"/>
    <n v="22"/>
    <x v="11"/>
    <x v="25"/>
    <n v="22"/>
    <s v="02"/>
    <m/>
    <s v="2202"/>
    <x v="0"/>
    <x v="0"/>
    <m/>
    <m/>
    <s v="Terry"/>
    <m/>
    <m/>
    <m/>
    <m/>
    <s v="Kiribati, Tonga"/>
    <x v="0"/>
    <n v="219240"/>
    <m/>
    <m/>
    <m/>
    <x v="0"/>
    <n v="219240"/>
    <s v=""/>
    <s v=""/>
    <n v="7195"/>
    <n v="202272"/>
    <n v="9773"/>
    <m/>
    <m/>
    <m/>
    <m/>
    <m/>
    <m/>
    <m/>
    <n v="7185.62"/>
    <n v="155266"/>
    <n v="202272"/>
    <n v="209457.62"/>
    <m/>
    <n v="0.95538049625980659"/>
    <m/>
    <m/>
    <m/>
    <m/>
    <m/>
    <e v="#DIV/0!"/>
    <m/>
    <m/>
    <m/>
    <m/>
    <m/>
    <s v="4 Implementation In Progress"/>
    <s v="4 Implementation In Progress"/>
    <x v="13"/>
    <n v="0.5"/>
    <s v="Green"/>
    <s v="Green"/>
    <s v="Remaining cost flowing over to 2026."/>
    <s v="-"/>
  </r>
  <r>
    <x v="0"/>
    <x v="0"/>
    <x v="1"/>
    <n v="11"/>
    <x v="1"/>
    <x v="26"/>
    <n v="11"/>
    <s v="04"/>
    <m/>
    <s v="1104"/>
    <x v="1"/>
    <x v="2"/>
    <m/>
    <m/>
    <s v="Ofa"/>
    <m/>
    <m/>
    <m/>
    <m/>
    <s v="All"/>
    <x v="0"/>
    <n v="75000"/>
    <m/>
    <m/>
    <m/>
    <x v="5"/>
    <n v="75000"/>
    <s v=""/>
    <s v=""/>
    <m/>
    <n v="75000"/>
    <m/>
    <m/>
    <m/>
    <m/>
    <m/>
    <m/>
    <m/>
    <m/>
    <m/>
    <n v="75000"/>
    <m/>
    <n v="0"/>
    <m/>
    <n v="0"/>
    <m/>
    <m/>
    <m/>
    <m/>
    <m/>
    <e v="#DIV/0!"/>
    <m/>
    <m/>
    <m/>
    <m/>
    <m/>
    <s v="4 Implementation In Progress"/>
    <s v="4 Implementation In Progress"/>
    <x v="14"/>
    <n v="0.8"/>
    <s v="Green"/>
    <s v="Green"/>
    <s v="."/>
    <s v="Alignment review report completed and endorsed by steering committee. WRP governance review options paper being drafted for PMC to approve changes including to membership. "/>
  </r>
  <r>
    <x v="4"/>
    <x v="8"/>
    <x v="12"/>
    <n v="31"/>
    <x v="12"/>
    <x v="27"/>
    <n v="31"/>
    <s v="02"/>
    <m/>
    <s v="3102"/>
    <x v="1"/>
    <x v="2"/>
    <m/>
    <m/>
    <s v="Terry"/>
    <m/>
    <n v="2025"/>
    <s v="[1/8/25] Awaiting quotes from Fiji Met Service for SPREP to procure. "/>
    <m/>
    <s v="Fiji"/>
    <x v="1"/>
    <n v="50504.34782608696"/>
    <m/>
    <m/>
    <m/>
    <x v="1"/>
    <n v="50504.34782608696"/>
    <s v=""/>
    <s v=""/>
    <m/>
    <m/>
    <n v="50504.34782608696"/>
    <m/>
    <m/>
    <m/>
    <m/>
    <m/>
    <m/>
    <m/>
    <m/>
    <m/>
    <m/>
    <n v="0"/>
    <m/>
    <n v="0"/>
    <m/>
    <m/>
    <m/>
    <m/>
    <m/>
    <e v="#DIV/0!"/>
    <m/>
    <m/>
    <m/>
    <m/>
    <m/>
    <s v="3 Agreement"/>
    <s v="3 Agreement"/>
    <x v="2"/>
    <n v="0.1"/>
    <s v="Green"/>
    <s v="Green"/>
    <m/>
    <s v="Fiji Met is sourcing quotes for training"/>
  </r>
  <r>
    <x v="3"/>
    <x v="4"/>
    <x v="13"/>
    <n v="25"/>
    <x v="13"/>
    <x v="28"/>
    <n v="25"/>
    <s v="01"/>
    <m/>
    <s v="2501"/>
    <x v="0"/>
    <x v="2"/>
    <m/>
    <m/>
    <s v="Terry"/>
    <m/>
    <m/>
    <m/>
    <m/>
    <s v="All"/>
    <x v="1"/>
    <n v="135133.07304347801"/>
    <m/>
    <m/>
    <m/>
    <x v="1"/>
    <n v="135133.07304347801"/>
    <s v=""/>
    <s v=""/>
    <m/>
    <m/>
    <n v="135133.07304347801"/>
    <m/>
    <m/>
    <m/>
    <m/>
    <m/>
    <m/>
    <m/>
    <m/>
    <m/>
    <m/>
    <n v="0"/>
    <m/>
    <n v="0"/>
    <m/>
    <m/>
    <m/>
    <m/>
    <m/>
    <e v="#DIV/0!"/>
    <m/>
    <m/>
    <m/>
    <m/>
    <m/>
    <s v="Not Started"/>
    <s v="Not Started"/>
    <x v="5"/>
    <n v="0"/>
    <s v="-"/>
    <s v="-"/>
    <s v="."/>
    <s v="-"/>
  </r>
  <r>
    <x v="3"/>
    <x v="4"/>
    <x v="14"/>
    <n v="24"/>
    <x v="14"/>
    <x v="29"/>
    <n v="24"/>
    <s v="01"/>
    <m/>
    <s v="2401"/>
    <x v="1"/>
    <x v="2"/>
    <m/>
    <m/>
    <s v="Terry"/>
    <m/>
    <m/>
    <s v="Is this for 2026 or 2027?"/>
    <m/>
    <s v="-"/>
    <x v="1"/>
    <n v="124020.18999999999"/>
    <m/>
    <m/>
    <m/>
    <x v="1"/>
    <n v="124020.18999999999"/>
    <s v=""/>
    <s v=""/>
    <m/>
    <n v="124020.18999999999"/>
    <m/>
    <m/>
    <m/>
    <m/>
    <m/>
    <m/>
    <m/>
    <m/>
    <m/>
    <n v="50548.06"/>
    <n v="124020.18999999999"/>
    <n v="124020.18999999999"/>
    <m/>
    <n v="1"/>
    <m/>
    <m/>
    <m/>
    <m/>
    <m/>
    <e v="#DIV/0!"/>
    <m/>
    <m/>
    <m/>
    <m/>
    <m/>
    <s v="4 Implementation In Progress"/>
    <s v="4 Implementation In Progress"/>
    <x v="13"/>
    <n v="0.5"/>
    <s v="Green"/>
    <s v="Green"/>
    <s v="Actual cost lower than forecasted"/>
    <s v="Training in Fiji in progress for BIP-MT"/>
  </r>
  <r>
    <x v="3"/>
    <x v="4"/>
    <x v="14"/>
    <n v="24"/>
    <x v="14"/>
    <x v="29"/>
    <n v="24"/>
    <s v="01"/>
    <m/>
    <s v="2401"/>
    <x v="1"/>
    <x v="2"/>
    <m/>
    <m/>
    <s v="Terry"/>
    <m/>
    <m/>
    <m/>
    <n v="73913.043478260879"/>
    <s v="-"/>
    <x v="1"/>
    <n v="147826.08695652176"/>
    <m/>
    <m/>
    <m/>
    <x v="3"/>
    <n v="147826.08695652176"/>
    <s v=""/>
    <m/>
    <m/>
    <m/>
    <n v="147826.08695652176"/>
    <m/>
    <m/>
    <m/>
    <m/>
    <m/>
    <m/>
    <m/>
    <m/>
    <m/>
    <m/>
    <n v="0"/>
    <m/>
    <n v="0"/>
    <m/>
    <m/>
    <m/>
    <m/>
    <m/>
    <e v="#DIV/0!"/>
    <m/>
    <m/>
    <m/>
    <m/>
    <m/>
    <s v="Not Started"/>
    <s v="Not Started"/>
    <x v="5"/>
    <n v="0"/>
    <s v="-"/>
    <s v="-"/>
    <s v="."/>
    <s v="-"/>
  </r>
  <r>
    <x v="3"/>
    <x v="4"/>
    <x v="5"/>
    <n v="26"/>
    <x v="5"/>
    <x v="30"/>
    <n v="26"/>
    <s v="03"/>
    <m/>
    <s v="2603"/>
    <x v="1"/>
    <x v="2"/>
    <m/>
    <m/>
    <s v="Terry"/>
    <m/>
    <n v="2025"/>
    <s v="Ofa is this work completed? "/>
    <m/>
    <s v="Fiji"/>
    <x v="1"/>
    <n v="54069.565217391311"/>
    <m/>
    <m/>
    <m/>
    <x v="1"/>
    <n v="54069.565217391311"/>
    <s v=""/>
    <s v=""/>
    <m/>
    <m/>
    <n v="54069.565217391311"/>
    <m/>
    <m/>
    <m/>
    <m/>
    <m/>
    <m/>
    <m/>
    <m/>
    <m/>
    <m/>
    <n v="0"/>
    <m/>
    <n v="0"/>
    <m/>
    <m/>
    <m/>
    <m/>
    <m/>
    <e v="#DIV/0!"/>
    <m/>
    <m/>
    <m/>
    <m/>
    <m/>
    <s v="Not Started"/>
    <s v="Not Started"/>
    <x v="5"/>
    <n v="0"/>
    <s v="-"/>
    <s v="-"/>
    <s v="."/>
    <s v="-"/>
  </r>
  <r>
    <x v="3"/>
    <x v="9"/>
    <x v="15"/>
    <n v="28"/>
    <x v="15"/>
    <x v="31"/>
    <n v="28"/>
    <s v="01"/>
    <m/>
    <s v="2801"/>
    <x v="1"/>
    <x v="1"/>
    <m/>
    <m/>
    <s v="Marica"/>
    <m/>
    <m/>
    <m/>
    <m/>
    <s v="All"/>
    <x v="0"/>
    <n v="91640"/>
    <m/>
    <m/>
    <m/>
    <x v="0"/>
    <n v="91640"/>
    <s v=""/>
    <s v=""/>
    <m/>
    <n v="29488"/>
    <n v="45000"/>
    <n v="17152"/>
    <m/>
    <m/>
    <m/>
    <m/>
    <m/>
    <m/>
    <m/>
    <m/>
    <n v="29488"/>
    <n v="29488"/>
    <m/>
    <n v="0.32178088171104319"/>
    <m/>
    <m/>
    <m/>
    <m/>
    <m/>
    <e v="#DIV/0!"/>
    <m/>
    <m/>
    <m/>
    <m/>
    <m/>
    <s v="4 Implementation In Progress"/>
    <s v="4 Implementation In Progress"/>
    <x v="2"/>
    <n v="0.1"/>
    <s v="Green"/>
    <s v="Green"/>
    <s v="Commencement delayed."/>
    <s v="-"/>
  </r>
  <r>
    <x v="4"/>
    <x v="6"/>
    <x v="8"/>
    <n v="32"/>
    <x v="8"/>
    <x v="32"/>
    <n v="32"/>
    <s v="01"/>
    <m/>
    <s v="3201"/>
    <x v="0"/>
    <x v="1"/>
    <m/>
    <m/>
    <s v="Marica"/>
    <m/>
    <m/>
    <m/>
    <m/>
    <s v="All"/>
    <x v="0"/>
    <n v="255029"/>
    <m/>
    <m/>
    <m/>
    <x v="0"/>
    <n v="255029"/>
    <s v=""/>
    <s v=""/>
    <m/>
    <n v="255029"/>
    <m/>
    <m/>
    <m/>
    <m/>
    <m/>
    <m/>
    <m/>
    <m/>
    <m/>
    <m/>
    <n v="274004"/>
    <n v="274004"/>
    <m/>
    <n v="1.074403303153759"/>
    <m/>
    <m/>
    <m/>
    <m/>
    <m/>
    <e v="#DIV/0!"/>
    <m/>
    <m/>
    <m/>
    <m/>
    <m/>
    <s v="4 Implementation In Progress"/>
    <s v="4 Implementation In Progress"/>
    <x v="15"/>
    <n v="0.05"/>
    <s v="Green"/>
    <s v="Green"/>
    <s v="."/>
    <s v="-"/>
  </r>
  <r>
    <x v="4"/>
    <x v="6"/>
    <x v="16"/>
    <n v="71"/>
    <x v="16"/>
    <x v="33"/>
    <n v="71"/>
    <s v="01"/>
    <m/>
    <s v="7101"/>
    <x v="0"/>
    <x v="1"/>
    <m/>
    <m/>
    <s v="Marica"/>
    <m/>
    <m/>
    <m/>
    <m/>
    <s v="-"/>
    <x v="0"/>
    <n v="1484971"/>
    <m/>
    <m/>
    <m/>
    <x v="0"/>
    <n v="1484971"/>
    <s v=""/>
    <s v=""/>
    <m/>
    <n v="8975"/>
    <n v="940769"/>
    <n v="535227"/>
    <m/>
    <m/>
    <m/>
    <m/>
    <m/>
    <m/>
    <m/>
    <m/>
    <m/>
    <n v="0"/>
    <m/>
    <n v="0"/>
    <m/>
    <m/>
    <m/>
    <m/>
    <m/>
    <e v="#DIV/0!"/>
    <m/>
    <m/>
    <m/>
    <m/>
    <m/>
    <s v="Not Started"/>
    <s v="Not Started"/>
    <x v="5"/>
    <n v="0"/>
    <s v="-"/>
    <s v="-"/>
    <s v="."/>
    <s v="-"/>
  </r>
  <r>
    <x v="4"/>
    <x v="6"/>
    <x v="8"/>
    <n v="32"/>
    <x v="8"/>
    <x v="34"/>
    <n v="32"/>
    <s v="03"/>
    <m/>
    <s v="3203"/>
    <x v="0"/>
    <x v="0"/>
    <m/>
    <m/>
    <s v="Marica"/>
    <m/>
    <m/>
    <m/>
    <m/>
    <s v="All"/>
    <x v="0"/>
    <n v="49300"/>
    <m/>
    <m/>
    <m/>
    <x v="0"/>
    <n v="49300"/>
    <s v=""/>
    <s v=""/>
    <n v="290"/>
    <n v="37063"/>
    <n v="11947"/>
    <m/>
    <m/>
    <m/>
    <m/>
    <m/>
    <m/>
    <m/>
    <n v="290"/>
    <n v="2283.46"/>
    <n v="37063"/>
    <n v="37353"/>
    <m/>
    <n v="0.75766734279918868"/>
    <m/>
    <m/>
    <m/>
    <m/>
    <m/>
    <e v="#DIV/0!"/>
    <m/>
    <m/>
    <m/>
    <m/>
    <m/>
    <s v="4 Implementation In Progress"/>
    <s v="4 Implementation In Progress"/>
    <x v="16"/>
    <n v="0.85"/>
    <s v="Green"/>
    <s v="Green"/>
    <s v="Delayed commencement"/>
    <s v="Progress as of Sep 2025, consultations completed and preliminary recommnedations report prepared for SC. Full report still to be developed. "/>
  </r>
  <r>
    <x v="0"/>
    <x v="0"/>
    <x v="0"/>
    <n v="12"/>
    <x v="0"/>
    <x v="12"/>
    <n v="12"/>
    <s v="02"/>
    <m/>
    <s v="1202"/>
    <x v="1"/>
    <x v="2"/>
    <m/>
    <m/>
    <s v="Honsol"/>
    <m/>
    <m/>
    <m/>
    <m/>
    <s v="All"/>
    <x v="1"/>
    <n v="295801.41000000003"/>
    <m/>
    <m/>
    <m/>
    <x v="6"/>
    <n v="295801.41000000003"/>
    <s v=""/>
    <m/>
    <n v="55801.41"/>
    <m/>
    <n v="100000"/>
    <n v="80000"/>
    <n v="60000"/>
    <m/>
    <m/>
    <m/>
    <m/>
    <m/>
    <n v="55801.41"/>
    <m/>
    <m/>
    <n v="55801.41"/>
    <m/>
    <n v="0.18864484114528055"/>
    <m/>
    <m/>
    <m/>
    <m/>
    <m/>
    <e v="#DIV/0!"/>
    <m/>
    <m/>
    <m/>
    <m/>
    <m/>
    <s v="4 Implementation In Progress"/>
    <s v="4 Implementation In Progress"/>
    <x v="8"/>
    <n v="0.2"/>
    <s v="Green"/>
    <s v="Green"/>
    <s v="."/>
    <s v="-"/>
  </r>
  <r>
    <x v="4"/>
    <x v="6"/>
    <x v="9"/>
    <n v="73"/>
    <x v="9"/>
    <x v="35"/>
    <n v="73"/>
    <s v="06"/>
    <m/>
    <s v="7306"/>
    <x v="0"/>
    <x v="0"/>
    <m/>
    <m/>
    <s v="Marica"/>
    <m/>
    <m/>
    <m/>
    <m/>
    <s v="Tonga"/>
    <x v="0"/>
    <n v="2356378"/>
    <m/>
    <m/>
    <m/>
    <x v="0"/>
    <n v="2356378"/>
    <s v=""/>
    <s v=""/>
    <n v="1906045"/>
    <n v="208211"/>
    <n v="121061"/>
    <n v="121061"/>
    <m/>
    <m/>
    <m/>
    <m/>
    <m/>
    <m/>
    <n v="1906045.3"/>
    <n v="123389.2"/>
    <n v="208211"/>
    <n v="2114256.2999999998"/>
    <m/>
    <n v="0.89724836168051125"/>
    <m/>
    <m/>
    <m/>
    <m/>
    <m/>
    <e v="#DIV/0!"/>
    <m/>
    <m/>
    <m/>
    <m/>
    <m/>
    <s v="4 Implementation In Progress"/>
    <s v="4 Implementation In Progress"/>
    <x v="16"/>
    <n v="0.85"/>
    <s v="Amber"/>
    <s v="Amber"/>
    <s v="Cost incurred earlier than forecasted. Budget brought forward."/>
    <s v="Quality issues with radar being rectified and managed currently. We are in maintenance and support phase over next 2 years."/>
  </r>
  <r>
    <x v="0"/>
    <x v="0"/>
    <x v="0"/>
    <n v="12"/>
    <x v="0"/>
    <x v="36"/>
    <n v="12"/>
    <s v="01"/>
    <m/>
    <s v="1201"/>
    <x v="1"/>
    <x v="2"/>
    <m/>
    <m/>
    <s v="Ofa"/>
    <m/>
    <m/>
    <m/>
    <m/>
    <s v="All"/>
    <x v="1"/>
    <n v="118130.35"/>
    <m/>
    <m/>
    <m/>
    <x v="2"/>
    <n v="118130.35"/>
    <s v=""/>
    <m/>
    <n v="118130.35"/>
    <m/>
    <m/>
    <m/>
    <m/>
    <m/>
    <m/>
    <m/>
    <m/>
    <m/>
    <n v="118130.35"/>
    <m/>
    <m/>
    <n v="118130.35"/>
    <m/>
    <n v="1"/>
    <m/>
    <m/>
    <m/>
    <m/>
    <m/>
    <e v="#DIV/0!"/>
    <m/>
    <m/>
    <m/>
    <m/>
    <m/>
    <s v="5 Completion Evaluation"/>
    <s v="5 Completion Evaluation"/>
    <x v="3"/>
    <n v="1"/>
    <s v="Green"/>
    <s v="Green"/>
    <s v="."/>
    <s v="-"/>
  </r>
  <r>
    <x v="4"/>
    <x v="6"/>
    <x v="9"/>
    <n v="73"/>
    <x v="9"/>
    <x v="37"/>
    <n v="73"/>
    <s v="05"/>
    <m/>
    <s v="7305"/>
    <x v="0"/>
    <x v="0"/>
    <m/>
    <m/>
    <s v="Marica"/>
    <m/>
    <m/>
    <m/>
    <m/>
    <s v="Solomon Island"/>
    <x v="0"/>
    <n v="2580774"/>
    <m/>
    <m/>
    <m/>
    <x v="0"/>
    <n v="2580774"/>
    <s v=""/>
    <s v=""/>
    <m/>
    <n v="764160"/>
    <n v="1816614"/>
    <m/>
    <m/>
    <m/>
    <m/>
    <m/>
    <m/>
    <m/>
    <m/>
    <n v="66700"/>
    <n v="764160"/>
    <n v="764160"/>
    <m/>
    <n v="0.29609721734642397"/>
    <m/>
    <m/>
    <m/>
    <m/>
    <m/>
    <e v="#DIV/0!"/>
    <m/>
    <m/>
    <m/>
    <m/>
    <m/>
    <s v="3 Agreement"/>
    <s v="3 Agreement"/>
    <x v="2"/>
    <n v="0.1"/>
    <s v="Green"/>
    <s v="Green"/>
    <s v="Cost incurred earlier than forecasted. Budget brought forward."/>
    <s v="-"/>
  </r>
  <r>
    <x v="0"/>
    <x v="0"/>
    <x v="0"/>
    <n v="12"/>
    <x v="0"/>
    <x v="14"/>
    <n v="12"/>
    <s v="01"/>
    <m/>
    <s v="1201"/>
    <x v="0"/>
    <x v="2"/>
    <m/>
    <m/>
    <s v="Ofa"/>
    <m/>
    <m/>
    <m/>
    <m/>
    <s v="All"/>
    <x v="1"/>
    <n v="239251.47999999998"/>
    <m/>
    <m/>
    <m/>
    <x v="6"/>
    <n v="239251.47999999998"/>
    <s v=""/>
    <m/>
    <n v="41332.18"/>
    <s v=" "/>
    <n v="50000"/>
    <n v="47919.299999999996"/>
    <n v="100000"/>
    <m/>
    <m/>
    <m/>
    <m/>
    <m/>
    <n v="41332.18"/>
    <m/>
    <m/>
    <n v="41332.18"/>
    <m/>
    <n v="0.17275621450701165"/>
    <m/>
    <m/>
    <m/>
    <m/>
    <m/>
    <e v="#DIV/0!"/>
    <m/>
    <m/>
    <m/>
    <m/>
    <m/>
    <s v="4 Implementation In Progress"/>
    <s v="4 Implementation In Progress"/>
    <x v="8"/>
    <n v="0.2"/>
    <s v="Green"/>
    <s v="Green"/>
    <s v="."/>
    <s v="-"/>
  </r>
  <r>
    <x v="4"/>
    <x v="8"/>
    <x v="12"/>
    <n v="31"/>
    <x v="12"/>
    <x v="38"/>
    <m/>
    <m/>
    <m/>
    <s v=""/>
    <x v="2"/>
    <x v="9"/>
    <m/>
    <m/>
    <m/>
    <m/>
    <m/>
    <m/>
    <m/>
    <s v="All"/>
    <x v="2"/>
    <n v="1000000"/>
    <s v="JICA"/>
    <n v="1000000"/>
    <m/>
    <x v="7"/>
    <n v="0"/>
    <s v=""/>
    <s v=""/>
    <m/>
    <m/>
    <m/>
    <m/>
    <m/>
    <m/>
    <m/>
    <m/>
    <m/>
    <m/>
    <m/>
    <m/>
    <m/>
    <n v="0"/>
    <m/>
    <s v="-"/>
    <m/>
    <m/>
    <m/>
    <m/>
    <m/>
    <e v="#DIV/0!"/>
    <m/>
    <m/>
    <m/>
    <m/>
    <m/>
    <m/>
    <m/>
    <x v="11"/>
    <s v="-"/>
    <s v="-"/>
    <s v="-"/>
    <m/>
    <s v="-"/>
  </r>
  <r>
    <x v="3"/>
    <x v="7"/>
    <x v="10"/>
    <n v="21"/>
    <x v="10"/>
    <x v="39"/>
    <m/>
    <m/>
    <m/>
    <s v=""/>
    <x v="2"/>
    <x v="9"/>
    <m/>
    <m/>
    <m/>
    <m/>
    <m/>
    <m/>
    <m/>
    <s v="All"/>
    <x v="2"/>
    <n v="1000000"/>
    <s v="JICA"/>
    <n v="1000000"/>
    <m/>
    <x v="7"/>
    <n v="0"/>
    <s v=""/>
    <s v=""/>
    <m/>
    <m/>
    <m/>
    <m/>
    <m/>
    <m/>
    <m/>
    <m/>
    <m/>
    <m/>
    <m/>
    <m/>
    <m/>
    <n v="0"/>
    <m/>
    <s v="-"/>
    <m/>
    <m/>
    <m/>
    <m/>
    <m/>
    <e v="#DIV/0!"/>
    <m/>
    <m/>
    <m/>
    <m/>
    <m/>
    <m/>
    <m/>
    <x v="11"/>
    <s v="-"/>
    <s v="-"/>
    <s v="-"/>
    <s v="."/>
    <s v="-"/>
  </r>
  <r>
    <x v="4"/>
    <x v="6"/>
    <x v="8"/>
    <n v="32"/>
    <x v="8"/>
    <x v="40"/>
    <n v="32"/>
    <s v="02"/>
    <m/>
    <s v="3202"/>
    <x v="0"/>
    <x v="1"/>
    <m/>
    <m/>
    <s v="Marica"/>
    <m/>
    <m/>
    <m/>
    <m/>
    <s v="All"/>
    <x v="0"/>
    <n v="102370"/>
    <m/>
    <m/>
    <m/>
    <x v="0"/>
    <n v="102370"/>
    <s v=""/>
    <s v=""/>
    <m/>
    <n v="62070"/>
    <n v="40300"/>
    <m/>
    <m/>
    <m/>
    <m/>
    <m/>
    <m/>
    <m/>
    <m/>
    <m/>
    <n v="62070"/>
    <n v="62070"/>
    <m/>
    <n v="0.60632997948617762"/>
    <m/>
    <m/>
    <m/>
    <m/>
    <m/>
    <e v="#DIV/0!"/>
    <m/>
    <m/>
    <m/>
    <m/>
    <m/>
    <s v="4 Implementation In Progress"/>
    <s v="4 Implementation In Progress"/>
    <x v="2"/>
    <n v="0.1"/>
    <s v="Green"/>
    <s v="Green"/>
    <s v="."/>
    <s v="Draft TOC for consultation"/>
  </r>
  <r>
    <x v="1"/>
    <x v="5"/>
    <x v="17"/>
    <n v="42"/>
    <x v="17"/>
    <x v="41"/>
    <n v="42"/>
    <s v="01"/>
    <m/>
    <s v="4201"/>
    <x v="1"/>
    <x v="2"/>
    <m/>
    <m/>
    <s v="Ofa"/>
    <m/>
    <m/>
    <m/>
    <n v="30000"/>
    <s v="All"/>
    <x v="1"/>
    <n v="30000"/>
    <m/>
    <m/>
    <m/>
    <x v="3"/>
    <n v="30000"/>
    <s v=""/>
    <s v=""/>
    <m/>
    <m/>
    <n v="30000"/>
    <m/>
    <m/>
    <m/>
    <m/>
    <m/>
    <m/>
    <m/>
    <m/>
    <m/>
    <m/>
    <n v="0"/>
    <m/>
    <n v="0"/>
    <m/>
    <m/>
    <m/>
    <m/>
    <m/>
    <e v="#DIV/0!"/>
    <m/>
    <m/>
    <m/>
    <m/>
    <m/>
    <s v="Not Started"/>
    <s v="Not Started"/>
    <x v="5"/>
    <n v="0"/>
    <s v="-"/>
    <s v="-"/>
    <s v="."/>
    <s v="-"/>
  </r>
  <r>
    <x v="3"/>
    <x v="7"/>
    <x v="10"/>
    <n v="21"/>
    <x v="10"/>
    <x v="42"/>
    <n v="21"/>
    <s v="03"/>
    <m/>
    <s v="2103"/>
    <x v="0"/>
    <x v="10"/>
    <m/>
    <m/>
    <s v="Marica"/>
    <m/>
    <m/>
    <m/>
    <m/>
    <s v="All"/>
    <x v="0"/>
    <n v="75000"/>
    <m/>
    <m/>
    <m/>
    <x v="5"/>
    <n v="75000"/>
    <s v=""/>
    <s v=""/>
    <m/>
    <n v="75000"/>
    <m/>
    <m/>
    <m/>
    <m/>
    <m/>
    <m/>
    <m/>
    <m/>
    <m/>
    <m/>
    <m/>
    <n v="0"/>
    <m/>
    <n v="0"/>
    <m/>
    <m/>
    <m/>
    <m/>
    <m/>
    <e v="#DIV/0!"/>
    <m/>
    <m/>
    <m/>
    <m/>
    <m/>
    <s v="4 Implementation In Progress"/>
    <s v="4 Implementation In Progress"/>
    <x v="6"/>
    <n v="0.3"/>
    <s v="Green"/>
    <s v="Green"/>
    <s v="."/>
    <s v="Proress as of Sep 2025, options report completed and to be tabled at SC."/>
  </r>
  <r>
    <x v="1"/>
    <x v="5"/>
    <x v="18"/>
    <n v="43"/>
    <x v="18"/>
    <x v="43"/>
    <n v="43"/>
    <m/>
    <m/>
    <s v=""/>
    <x v="0"/>
    <x v="0"/>
    <m/>
    <m/>
    <m/>
    <m/>
    <m/>
    <m/>
    <m/>
    <s v="Fiji, Tonga, Niue"/>
    <x v="0"/>
    <n v="597647"/>
    <m/>
    <m/>
    <m/>
    <x v="0"/>
    <n v="597647"/>
    <s v=""/>
    <s v=""/>
    <n v="331114"/>
    <n v="159336"/>
    <n v="107197"/>
    <m/>
    <m/>
    <m/>
    <m/>
    <m/>
    <m/>
    <m/>
    <n v="309766.66666666669"/>
    <n v="154883.33333333334"/>
    <n v="337025"/>
    <n v="646791.66666666674"/>
    <n v="0"/>
    <n v="1.0822302574373615"/>
    <m/>
    <m/>
    <m/>
    <m/>
    <m/>
    <e v="#DIV/0!"/>
    <m/>
    <m/>
    <m/>
    <m/>
    <m/>
    <s v="5 Completion Evaluation"/>
    <s v="5 Completion Evaluation"/>
    <x v="14"/>
    <n v="0.8"/>
    <s v="Green"/>
    <s v="Green"/>
    <s v="Effort less than forecasted"/>
    <s v="Draft completion report prepared"/>
  </r>
  <r>
    <x v="3"/>
    <x v="9"/>
    <x v="15"/>
    <n v="28"/>
    <x v="15"/>
    <x v="44"/>
    <n v="28"/>
    <m/>
    <m/>
    <s v=""/>
    <x v="0"/>
    <x v="0"/>
    <m/>
    <m/>
    <m/>
    <m/>
    <m/>
    <m/>
    <n v="177689"/>
    <s v="Fiji, Tonga, Niue"/>
    <x v="0"/>
    <n v="398431"/>
    <m/>
    <m/>
    <m/>
    <x v="0"/>
    <n v="398431"/>
    <s v=""/>
    <s v=""/>
    <n v="220742"/>
    <n v="177689"/>
    <m/>
    <m/>
    <m/>
    <m/>
    <m/>
    <m/>
    <m/>
    <m/>
    <n v="206511.33333333334"/>
    <n v="103255.66666666667"/>
    <m/>
    <n v="206511.33333333334"/>
    <n v="0"/>
    <n v="0.51831140983842461"/>
    <m/>
    <m/>
    <m/>
    <m/>
    <m/>
    <e v="#DIV/0!"/>
    <m/>
    <m/>
    <m/>
    <m/>
    <m/>
    <s v="5 Completion Evaluation"/>
    <s v="5 Completion Evaluation"/>
    <x v="14"/>
    <n v="0.8"/>
    <s v="Green"/>
    <s v="Green"/>
    <s v="."/>
    <s v="Draft completion report prepared"/>
  </r>
  <r>
    <x v="3"/>
    <x v="9"/>
    <x v="15"/>
    <n v="28"/>
    <x v="15"/>
    <x v="45"/>
    <n v="28"/>
    <m/>
    <m/>
    <s v=""/>
    <x v="0"/>
    <x v="2"/>
    <m/>
    <m/>
    <m/>
    <m/>
    <m/>
    <m/>
    <n v="0"/>
    <s v="All"/>
    <x v="1"/>
    <n v="0"/>
    <m/>
    <m/>
    <m/>
    <x v="3"/>
    <n v="0"/>
    <s v=""/>
    <s v=""/>
    <m/>
    <m/>
    <m/>
    <m/>
    <m/>
    <m/>
    <m/>
    <m/>
    <m/>
    <m/>
    <m/>
    <m/>
    <m/>
    <n v="0"/>
    <m/>
    <s v="-"/>
    <m/>
    <m/>
    <m/>
    <m/>
    <m/>
    <e v="#DIV/0!"/>
    <m/>
    <m/>
    <m/>
    <m/>
    <m/>
    <s v="Not Started"/>
    <s v="Not Started"/>
    <x v="5"/>
    <n v="0"/>
    <s v="-"/>
    <s v="-"/>
    <s v="."/>
    <s v="Recommendation from IFP peer review, continue to strengthen public weather forecasting capabilities and community of practice as sucessfully demonstrated in severe weather forecasting pilot project."/>
  </r>
  <r>
    <x v="1"/>
    <x v="1"/>
    <x v="2"/>
    <n v="41"/>
    <x v="2"/>
    <x v="46"/>
    <n v="41"/>
    <s v="03"/>
    <n v="2601"/>
    <s v="4103"/>
    <x v="1"/>
    <x v="2"/>
    <m/>
    <m/>
    <s v="Ofa"/>
    <m/>
    <m/>
    <m/>
    <m/>
    <s v="All"/>
    <x v="1"/>
    <n v="26956.521739130436"/>
    <m/>
    <m/>
    <m/>
    <x v="1"/>
    <n v="26956.521739130436"/>
    <s v=""/>
    <s v=""/>
    <m/>
    <m/>
    <n v="26956.521739130436"/>
    <m/>
    <m/>
    <m/>
    <m/>
    <m/>
    <m/>
    <m/>
    <m/>
    <m/>
    <m/>
    <n v="0"/>
    <m/>
    <n v="0"/>
    <m/>
    <m/>
    <m/>
    <m/>
    <m/>
    <e v="#DIV/0!"/>
    <m/>
    <m/>
    <m/>
    <m/>
    <m/>
    <s v="Not Started"/>
    <s v="Not Started"/>
    <x v="5"/>
    <n v="0"/>
    <s v="-"/>
    <s v="-"/>
    <s v="."/>
    <s v="-"/>
  </r>
  <r>
    <x v="3"/>
    <x v="4"/>
    <x v="11"/>
    <n v="22"/>
    <x v="11"/>
    <x v="47"/>
    <n v="22"/>
    <s v="02"/>
    <m/>
    <s v="2202"/>
    <x v="1"/>
    <x v="5"/>
    <m/>
    <m/>
    <s v="Terry"/>
    <m/>
    <m/>
    <m/>
    <n v="76226.37"/>
    <s v="Samoa"/>
    <x v="1"/>
    <n v="139379"/>
    <m/>
    <m/>
    <m/>
    <x v="3"/>
    <n v="139379"/>
    <s v=""/>
    <s v=""/>
    <m/>
    <n v="76226.37"/>
    <n v="63152.630000000005"/>
    <m/>
    <m/>
    <m/>
    <m/>
    <m/>
    <m/>
    <m/>
    <m/>
    <n v="76226.37"/>
    <n v="76226.37"/>
    <n v="76226.37"/>
    <m/>
    <n v="0.54689996340912184"/>
    <m/>
    <m/>
    <m/>
    <m/>
    <m/>
    <e v="#DIV/0!"/>
    <m/>
    <m/>
    <m/>
    <m/>
    <m/>
    <s v="5 Completion Evaluation"/>
    <s v="5 Completion Evaluation"/>
    <x v="3"/>
    <n v="1"/>
    <s v="Green"/>
    <s v="Green"/>
    <s v="Actual cost greater than forecasted."/>
    <s v="Additional invoice to be issued by Bureau to be paid"/>
  </r>
  <r>
    <x v="3"/>
    <x v="4"/>
    <x v="11"/>
    <n v="22"/>
    <x v="11"/>
    <x v="48"/>
    <n v="22"/>
    <s v="02"/>
    <n v="2507"/>
    <s v="2202"/>
    <x v="1"/>
    <x v="5"/>
    <m/>
    <m/>
    <s v="Terry"/>
    <m/>
    <n v="2025"/>
    <s v="[1/8/25] Concept note and contract with BoM needed"/>
    <n v="90000"/>
    <s v="-"/>
    <x v="1"/>
    <n v="360000"/>
    <m/>
    <m/>
    <m/>
    <x v="3"/>
    <n v="360000"/>
    <s v=""/>
    <s v=""/>
    <m/>
    <m/>
    <n v="180000"/>
    <n v="180000"/>
    <m/>
    <m/>
    <m/>
    <m/>
    <m/>
    <m/>
    <m/>
    <m/>
    <m/>
    <n v="0"/>
    <m/>
    <n v="0"/>
    <m/>
    <m/>
    <m/>
    <m/>
    <m/>
    <e v="#DIV/0!"/>
    <m/>
    <m/>
    <m/>
    <m/>
    <m/>
    <s v="4 Implementation In Progress"/>
    <s v="1 Concept"/>
    <x v="15"/>
    <n v="0.05"/>
    <s v="Green"/>
    <s v="Green"/>
    <s v="."/>
    <s v="Vanautu (1) and Fiji (2) candidate. Potentially 1 candidate more from Fiji. "/>
  </r>
  <r>
    <x v="3"/>
    <x v="4"/>
    <x v="19"/>
    <n v="23"/>
    <x v="19"/>
    <x v="49"/>
    <n v="23"/>
    <s v="01"/>
    <m/>
    <s v="2301"/>
    <x v="1"/>
    <x v="11"/>
    <m/>
    <m/>
    <s v="Terry"/>
    <m/>
    <n v="2025"/>
    <s v="[1/8/25] 'Ofa chasing PAGASA/WMO for course costs and details to finalise procurement. "/>
    <n v="0"/>
    <s v="-"/>
    <x v="1"/>
    <n v="110000"/>
    <m/>
    <m/>
    <m/>
    <x v="3"/>
    <n v="110000"/>
    <s v=""/>
    <s v=""/>
    <m/>
    <m/>
    <n v="30000"/>
    <n v="80000"/>
    <m/>
    <m/>
    <m/>
    <m/>
    <m/>
    <m/>
    <m/>
    <m/>
    <m/>
    <n v="0"/>
    <m/>
    <n v="0"/>
    <m/>
    <m/>
    <m/>
    <m/>
    <m/>
    <e v="#DIV/0!"/>
    <m/>
    <m/>
    <m/>
    <m/>
    <m/>
    <s v="3 Agreement"/>
    <s v="3 Agreement"/>
    <x v="15"/>
    <n v="0.05"/>
    <s v="Green"/>
    <s v="Green"/>
    <s v="Deferred to 2026. Limited hydrology training available."/>
    <s v="PAGASA/WMO to confirm course content, costs and timing. WRP organising student travel and accom."/>
  </r>
  <r>
    <x v="3"/>
    <x v="4"/>
    <x v="11"/>
    <n v="22"/>
    <x v="11"/>
    <x v="50"/>
    <n v="22"/>
    <s v="03"/>
    <m/>
    <s v="2203"/>
    <x v="1"/>
    <x v="12"/>
    <m/>
    <m/>
    <s v="Terry"/>
    <m/>
    <n v="2025"/>
    <s v="on hold til after 14-19 July workshop"/>
    <m/>
    <s v="-"/>
    <x v="1"/>
    <n v="92973.75"/>
    <m/>
    <m/>
    <m/>
    <x v="3"/>
    <n v="92973.75"/>
    <s v=""/>
    <s v=""/>
    <m/>
    <m/>
    <n v="92973.75"/>
    <m/>
    <m/>
    <m/>
    <m/>
    <m/>
    <m/>
    <m/>
    <m/>
    <m/>
    <m/>
    <n v="0"/>
    <m/>
    <n v="0"/>
    <m/>
    <m/>
    <m/>
    <m/>
    <m/>
    <e v="#DIV/0!"/>
    <m/>
    <m/>
    <m/>
    <m/>
    <m/>
    <s v="Paused"/>
    <s v="Paused"/>
    <x v="5"/>
    <n v="0"/>
    <s v="-"/>
    <s v="-"/>
    <s v="."/>
    <s v="Training Workshop in Suva scheduled 14-18 July. PEITR panel task team for RTC established. This activity and budget can be assigned to them for implementation. "/>
  </r>
  <r>
    <x v="4"/>
    <x v="6"/>
    <x v="20"/>
    <n v="33"/>
    <x v="20"/>
    <x v="51"/>
    <n v="33"/>
    <n v="0"/>
    <m/>
    <s v=""/>
    <x v="3"/>
    <x v="2"/>
    <m/>
    <m/>
    <s v="Marica"/>
    <m/>
    <m/>
    <m/>
    <m/>
    <s v="All"/>
    <x v="1"/>
    <n v="379776"/>
    <m/>
    <m/>
    <m/>
    <x v="3"/>
    <n v="379776"/>
    <s v=""/>
    <s v=""/>
    <m/>
    <m/>
    <m/>
    <n v="126592"/>
    <n v="126592"/>
    <n v="126592"/>
    <m/>
    <m/>
    <m/>
    <m/>
    <m/>
    <m/>
    <m/>
    <n v="0"/>
    <m/>
    <n v="0"/>
    <m/>
    <m/>
    <m/>
    <m/>
    <m/>
    <e v="#DIV/0!"/>
    <m/>
    <m/>
    <m/>
    <m/>
    <m/>
    <s v="Paused"/>
    <s v="Paused"/>
    <x v="15"/>
    <n v="0.05"/>
    <s v="-"/>
    <s v="-"/>
    <s v="."/>
    <s v="JD drafted. Paused while finalising recruitment of Infrastructure and ICT adviser and World Bank TA availability, to inform the exact need for this role and timing. "/>
  </r>
  <r>
    <x v="4"/>
    <x v="6"/>
    <x v="8"/>
    <n v="32"/>
    <x v="8"/>
    <x v="52"/>
    <n v="32"/>
    <s v="05"/>
    <n v="2504"/>
    <s v="3205"/>
    <x v="0"/>
    <x v="2"/>
    <m/>
    <m/>
    <s v="Marica"/>
    <m/>
    <n v="2025"/>
    <s v="awaiting world bank"/>
    <n v="25000"/>
    <s v="All"/>
    <x v="1"/>
    <n v="200000"/>
    <m/>
    <m/>
    <m/>
    <x v="3"/>
    <n v="200000"/>
    <s v=""/>
    <s v=""/>
    <m/>
    <m/>
    <n v="50000"/>
    <n v="150000"/>
    <m/>
    <m/>
    <m/>
    <m/>
    <m/>
    <m/>
    <m/>
    <m/>
    <m/>
    <n v="0"/>
    <m/>
    <n v="0"/>
    <m/>
    <m/>
    <m/>
    <m/>
    <m/>
    <e v="#DIV/0!"/>
    <m/>
    <m/>
    <m/>
    <m/>
    <m/>
    <s v="1 Concept"/>
    <s v="1 Concept"/>
    <x v="15"/>
    <n v="0.05"/>
    <s v="Green"/>
    <s v="Green"/>
    <s v="."/>
    <s v="Concept Note drafted. World Bank briefed also as a possible alternative funder for TA/consultant."/>
  </r>
  <r>
    <x v="1"/>
    <x v="1"/>
    <x v="2"/>
    <n v="41"/>
    <x v="2"/>
    <x v="53"/>
    <m/>
    <m/>
    <m/>
    <s v=""/>
    <x v="2"/>
    <x v="5"/>
    <m/>
    <m/>
    <m/>
    <m/>
    <m/>
    <m/>
    <m/>
    <m/>
    <x v="2"/>
    <n v="0"/>
    <s v="DFAT/MFAT"/>
    <s v="??"/>
    <m/>
    <x v="4"/>
    <n v="0"/>
    <s v=""/>
    <s v=""/>
    <m/>
    <m/>
    <m/>
    <m/>
    <m/>
    <m/>
    <m/>
    <m/>
    <m/>
    <m/>
    <m/>
    <m/>
    <m/>
    <n v="0"/>
    <m/>
    <s v="-"/>
    <m/>
    <m/>
    <m/>
    <m/>
    <m/>
    <e v="#DIV/0!"/>
    <m/>
    <m/>
    <m/>
    <m/>
    <m/>
    <m/>
    <m/>
    <x v="11"/>
    <s v="-"/>
    <s v="-"/>
    <s v="-"/>
    <s v="."/>
    <s v="-"/>
  </r>
  <r>
    <x v="1"/>
    <x v="5"/>
    <x v="21"/>
    <n v="45"/>
    <x v="21"/>
    <x v="54"/>
    <n v="45"/>
    <s v="01"/>
    <m/>
    <s v="4501"/>
    <x v="0"/>
    <x v="1"/>
    <m/>
    <m/>
    <s v="Terry"/>
    <m/>
    <m/>
    <m/>
    <m/>
    <s v="Tokelau"/>
    <x v="0"/>
    <n v="435000"/>
    <m/>
    <m/>
    <m/>
    <x v="0"/>
    <n v="435000"/>
    <s v=""/>
    <s v=""/>
    <m/>
    <n v="21387"/>
    <n v="306806"/>
    <n v="106807"/>
    <m/>
    <m/>
    <m/>
    <m/>
    <m/>
    <m/>
    <m/>
    <m/>
    <n v="21387"/>
    <n v="21387"/>
    <m/>
    <n v="4.9165517241379311E-2"/>
    <m/>
    <m/>
    <m/>
    <m/>
    <m/>
    <e v="#DIV/0!"/>
    <m/>
    <m/>
    <m/>
    <m/>
    <m/>
    <s v="4 Implementation In Progress"/>
    <s v="4 Implementation In Progress"/>
    <x v="5"/>
    <n v="0"/>
    <s v="Green"/>
    <s v="Green"/>
    <s v="Major work delayed to 2026 due to logistics."/>
    <s v="-"/>
  </r>
  <r>
    <x v="1"/>
    <x v="1"/>
    <x v="2"/>
    <n v="41"/>
    <x v="2"/>
    <x v="55"/>
    <n v="41"/>
    <s v="02"/>
    <m/>
    <s v="4102"/>
    <x v="1"/>
    <x v="2"/>
    <m/>
    <m/>
    <s v="Terry"/>
    <m/>
    <n v="2025"/>
    <s v="[1/8/25] 'Ofa to confirm if plan to change WISER grant to fund this secondment"/>
    <m/>
    <s v="All"/>
    <x v="2"/>
    <n v="0"/>
    <m/>
    <m/>
    <m/>
    <x v="3"/>
    <n v="0"/>
    <s v=""/>
    <s v=""/>
    <m/>
    <m/>
    <m/>
    <m/>
    <m/>
    <m/>
    <m/>
    <m/>
    <m/>
    <m/>
    <m/>
    <m/>
    <m/>
    <n v="0"/>
    <m/>
    <s v="-"/>
    <m/>
    <m/>
    <m/>
    <m/>
    <m/>
    <e v="#DIV/0!"/>
    <m/>
    <m/>
    <m/>
    <m/>
    <m/>
    <s v="Paused"/>
    <s v="Paused"/>
    <x v="5"/>
    <n v="0"/>
    <s v="-"/>
    <s v="-"/>
    <s v="."/>
    <s v="-"/>
  </r>
  <r>
    <x v="1"/>
    <x v="5"/>
    <x v="21"/>
    <n v="45"/>
    <x v="21"/>
    <x v="56"/>
    <n v="45"/>
    <s v="03"/>
    <m/>
    <s v="4503"/>
    <x v="0"/>
    <x v="13"/>
    <m/>
    <m/>
    <s v="Terry"/>
    <m/>
    <n v="2025"/>
    <s v="[1/8/25] Concept Note missing. Honsol finalising SPC LOA with procurement. Need 'Ofa to review"/>
    <n v="0"/>
    <s v="All"/>
    <x v="1"/>
    <n v="12396.5"/>
    <m/>
    <m/>
    <m/>
    <x v="3"/>
    <n v="12396.5"/>
    <s v=""/>
    <s v=""/>
    <m/>
    <m/>
    <n v="12396.5"/>
    <m/>
    <m/>
    <m/>
    <m/>
    <m/>
    <m/>
    <m/>
    <m/>
    <m/>
    <m/>
    <n v="0"/>
    <m/>
    <n v="0"/>
    <m/>
    <m/>
    <m/>
    <m/>
    <m/>
    <e v="#DIV/0!"/>
    <m/>
    <m/>
    <m/>
    <m/>
    <m/>
    <s v="3 Agreement"/>
    <s v="3 Agreement"/>
    <x v="17"/>
    <n v="0.01"/>
    <s v="Green"/>
    <s v="Green"/>
    <s v="Work started in 2025 and to be completed in 2026."/>
    <s v="Contract/LOA in finalisation"/>
  </r>
  <r>
    <x v="1"/>
    <x v="5"/>
    <x v="21"/>
    <n v="45"/>
    <x v="21"/>
    <x v="57"/>
    <n v="45"/>
    <s v="02"/>
    <m/>
    <s v="4502"/>
    <x v="0"/>
    <x v="13"/>
    <m/>
    <m/>
    <s v="Terry"/>
    <m/>
    <n v="2025"/>
    <s v="[1/8/25] Concept Note missing. Honsol finalising SPC LOA with procurement. Need 'Ofa to review"/>
    <n v="279417.63"/>
    <s v="Marshall Islands"/>
    <x v="1"/>
    <n v="757530.46"/>
    <m/>
    <m/>
    <m/>
    <x v="3"/>
    <n v="757530.46"/>
    <s v=""/>
    <s v=""/>
    <m/>
    <n v="279417.63"/>
    <n v="478112.83"/>
    <m/>
    <m/>
    <m/>
    <m/>
    <m/>
    <m/>
    <m/>
    <m/>
    <m/>
    <n v="279417.63"/>
    <n v="279417.63"/>
    <m/>
    <n v="0.3688533263731732"/>
    <m/>
    <m/>
    <m/>
    <m/>
    <m/>
    <e v="#DIV/0!"/>
    <m/>
    <m/>
    <m/>
    <m/>
    <m/>
    <s v="3 Agreement"/>
    <s v="3 Agreement"/>
    <x v="17"/>
    <n v="0.01"/>
    <s v="Green"/>
    <s v="Green"/>
    <s v="Work started in 2025 and to be completed in 2026."/>
    <s v="Contract/LOA in finalisation. SPC targeting procurement in Q3 and work completion in Q4/Q1. "/>
  </r>
  <r>
    <x v="2"/>
    <x v="3"/>
    <x v="22"/>
    <n v="56"/>
    <x v="22"/>
    <x v="58"/>
    <n v="56"/>
    <s v="01"/>
    <m/>
    <s v="5601"/>
    <x v="0"/>
    <x v="14"/>
    <m/>
    <m/>
    <s v="Marica"/>
    <m/>
    <n v="2025"/>
    <s v="[1/8/25] 'Ofa chase starlink quotes from Solomon island, for SPREP to procure. Jess &amp; Sue meeting with Jope on ESS screening on 8/8/25. Need meeting on sustainability screening with Kat, in order to finalise concept notes from Tonga and Kiribati. "/>
    <n v="0"/>
    <s v="Tonga, Solomon Islands, Kiribati"/>
    <x v="1"/>
    <n v="40931.14"/>
    <m/>
    <m/>
    <m/>
    <x v="3"/>
    <n v="40931.14"/>
    <s v=""/>
    <s v=""/>
    <m/>
    <m/>
    <n v="40931.14"/>
    <m/>
    <m/>
    <m/>
    <m/>
    <m/>
    <m/>
    <m/>
    <m/>
    <m/>
    <m/>
    <n v="0"/>
    <m/>
    <n v="0"/>
    <m/>
    <m/>
    <m/>
    <m/>
    <m/>
    <e v="#DIV/0!"/>
    <m/>
    <m/>
    <m/>
    <m/>
    <m/>
    <s v="1 Concept"/>
    <s v="1 Concept"/>
    <x v="2"/>
    <n v="0.1"/>
    <s v="Green"/>
    <s v="Green"/>
    <s v="Agreement/procurement deferred to 2026. Concept drafted in 2025."/>
    <s v="Tonga and Solomon Islands have submitted Concept Notes to WRP for approval. Kiribitis still to develop. LOA being prepared. "/>
  </r>
  <r>
    <x v="5"/>
    <x v="10"/>
    <x v="23"/>
    <s v="00"/>
    <x v="23"/>
    <x v="59"/>
    <n v="90"/>
    <m/>
    <m/>
    <s v=""/>
    <x v="1"/>
    <x v="15"/>
    <m/>
    <m/>
    <s v="Honsol"/>
    <m/>
    <n v="2025"/>
    <s v="[1/8/25] 'Ofa to send to directors MHEWS Readiness Fund information pack, so we can receive their concept note proposals for review. "/>
    <n v="11540.85"/>
    <s v="All"/>
    <x v="1"/>
    <n v="611540.85"/>
    <m/>
    <m/>
    <m/>
    <x v="3"/>
    <n v="611540.85"/>
    <s v=""/>
    <s v=""/>
    <m/>
    <n v="11540.85"/>
    <n v="150000"/>
    <n v="150000"/>
    <n v="150000"/>
    <n v="150000"/>
    <m/>
    <m/>
    <m/>
    <m/>
    <m/>
    <m/>
    <n v="11540.85"/>
    <n v="11540.85"/>
    <m/>
    <n v="1.8871756482007705E-2"/>
    <m/>
    <m/>
    <m/>
    <m/>
    <m/>
    <e v="#DIV/0!"/>
    <m/>
    <m/>
    <m/>
    <m/>
    <m/>
    <s v="1 Concept"/>
    <s v="1 Concept"/>
    <x v="15"/>
    <n v="0.05"/>
    <s v="Amber"/>
    <s v="Amber"/>
    <s v="Most beneficiary countries did not submit concepts/request in 2025. Budget reallocated."/>
    <s v="Flexible fund procedure developed for SC approval. One concept received from Vanautu. Risk of not spending funding allocated. "/>
  </r>
  <r>
    <x v="0"/>
    <x v="0"/>
    <x v="24"/>
    <n v="14"/>
    <x v="24"/>
    <x v="60"/>
    <n v="14"/>
    <n v="0"/>
    <m/>
    <s v=""/>
    <x v="3"/>
    <x v="2"/>
    <m/>
    <m/>
    <m/>
    <m/>
    <m/>
    <m/>
    <n v="241150.85333333327"/>
    <s v="All"/>
    <x v="1"/>
    <n v="1044482.9199999999"/>
    <m/>
    <m/>
    <m/>
    <x v="6"/>
    <n v="1044482.9199999999"/>
    <s v=""/>
    <s v=""/>
    <n v="91567.4"/>
    <n v="158387.51999999996"/>
    <n v="198632"/>
    <n v="198632"/>
    <n v="198632"/>
    <n v="198632"/>
    <m/>
    <m/>
    <m/>
    <m/>
    <n v="89105.919999999998"/>
    <n v="65371.06"/>
    <n v="158387.51999999996"/>
    <n v="247493.43999999994"/>
    <m/>
    <n v="0.23695307530734919"/>
    <m/>
    <m/>
    <m/>
    <m/>
    <m/>
    <e v="#DIV/0!"/>
    <m/>
    <m/>
    <m/>
    <m/>
    <m/>
    <s v="5 Completion Evaluation"/>
    <s v="5 Completion Evaluation"/>
    <x v="3"/>
    <n v="1"/>
    <s v="Green"/>
    <s v="Green"/>
    <s v="Known over-estimate in salary cost."/>
    <s v="-"/>
  </r>
  <r>
    <x v="4"/>
    <x v="6"/>
    <x v="20"/>
    <n v="33"/>
    <x v="20"/>
    <x v="61"/>
    <n v="33"/>
    <n v="0"/>
    <m/>
    <s v=""/>
    <x v="3"/>
    <x v="2"/>
    <m/>
    <m/>
    <m/>
    <m/>
    <m/>
    <m/>
    <n v="113081.78333333333"/>
    <s v="All"/>
    <x v="1"/>
    <n v="698103.95"/>
    <m/>
    <m/>
    <m/>
    <x v="6"/>
    <n v="698103.95"/>
    <s v=""/>
    <s v=""/>
    <m/>
    <n v="45055.95"/>
    <n v="163262"/>
    <n v="163262"/>
    <n v="163262"/>
    <n v="163262"/>
    <m/>
    <m/>
    <m/>
    <m/>
    <m/>
    <m/>
    <n v="45055.95"/>
    <n v="45055.95"/>
    <m/>
    <n v="6.4540459912882597E-2"/>
    <m/>
    <m/>
    <m/>
    <m/>
    <m/>
    <e v="#DIV/0!"/>
    <m/>
    <m/>
    <m/>
    <m/>
    <m/>
    <s v="4 Implementation In Progress"/>
    <s v="4 Implementation In Progress"/>
    <x v="14"/>
    <n v="0.8"/>
    <s v="Green"/>
    <s v="Green"/>
    <s v="."/>
    <s v="Recruitment close to finalisation"/>
  </r>
  <r>
    <x v="0"/>
    <x v="0"/>
    <x v="24"/>
    <n v="14"/>
    <x v="24"/>
    <x v="62"/>
    <n v="14"/>
    <n v="0"/>
    <m/>
    <s v=""/>
    <x v="3"/>
    <x v="2"/>
    <m/>
    <m/>
    <m/>
    <m/>
    <m/>
    <m/>
    <n v="128065.90666666665"/>
    <s v="All"/>
    <x v="1"/>
    <n v="665010.49"/>
    <m/>
    <m/>
    <m/>
    <x v="6"/>
    <n v="665010.49"/>
    <s v=""/>
    <s v=""/>
    <m/>
    <n v="65630.489999999991"/>
    <n v="149845"/>
    <n v="149845"/>
    <n v="149845"/>
    <n v="149845"/>
    <m/>
    <m/>
    <m/>
    <m/>
    <m/>
    <n v="6334.15"/>
    <n v="65630.489999999991"/>
    <n v="65630.489999999991"/>
    <m/>
    <n v="9.8690909371970947E-2"/>
    <m/>
    <m/>
    <m/>
    <m/>
    <m/>
    <e v="#DIV/0!"/>
    <m/>
    <m/>
    <m/>
    <m/>
    <m/>
    <s v="5 Completion Evaluation"/>
    <s v="5 Completion Evaluation"/>
    <x v="3"/>
    <n v="1"/>
    <s v="Green"/>
    <s v="Green"/>
    <s v="Known over-estimate in salary cost."/>
    <s v="Role recruited, in June 2025."/>
  </r>
  <r>
    <x v="0"/>
    <x v="0"/>
    <x v="24"/>
    <n v="14"/>
    <x v="24"/>
    <x v="63"/>
    <n v="14"/>
    <n v="0"/>
    <m/>
    <s v=""/>
    <x v="3"/>
    <x v="2"/>
    <m/>
    <m/>
    <m/>
    <m/>
    <m/>
    <m/>
    <n v="44774.456666666672"/>
    <s v="All"/>
    <x v="1"/>
    <n v="187780.96000000002"/>
    <m/>
    <m/>
    <m/>
    <x v="6"/>
    <n v="187780.96000000002"/>
    <s v=""/>
    <s v=""/>
    <n v="9778.17"/>
    <n v="29282.790000000008"/>
    <n v="37180"/>
    <n v="37180"/>
    <n v="37180"/>
    <n v="37180"/>
    <m/>
    <m/>
    <m/>
    <m/>
    <n v="12239.65"/>
    <n v="13723.23"/>
    <n v="29282.790000000008"/>
    <n v="41522.44000000001"/>
    <m/>
    <n v="0.22112167282561557"/>
    <m/>
    <m/>
    <m/>
    <m/>
    <m/>
    <e v="#DIV/0!"/>
    <m/>
    <m/>
    <m/>
    <m/>
    <m/>
    <s v="5 Completion Evaluation"/>
    <s v="5 Completion Evaluation"/>
    <x v="3"/>
    <n v="1"/>
    <s v="Green"/>
    <s v="Green"/>
    <s v="Known over-estimate in salary cost."/>
    <s v="Role recruited, in Sept 2024. "/>
  </r>
  <r>
    <x v="0"/>
    <x v="2"/>
    <x v="3"/>
    <n v="81"/>
    <x v="3"/>
    <x v="64"/>
    <n v="81"/>
    <n v="0"/>
    <m/>
    <s v=""/>
    <x v="1"/>
    <x v="2"/>
    <m/>
    <m/>
    <m/>
    <m/>
    <m/>
    <m/>
    <m/>
    <s v="All"/>
    <x v="0"/>
    <n v="86400"/>
    <m/>
    <m/>
    <m/>
    <x v="8"/>
    <n v="86400"/>
    <s v=""/>
    <s v=""/>
    <m/>
    <n v="86400"/>
    <m/>
    <m/>
    <m/>
    <m/>
    <m/>
    <m/>
    <m/>
    <m/>
    <m/>
    <n v="57600"/>
    <m/>
    <n v="0"/>
    <m/>
    <n v="0"/>
    <m/>
    <m/>
    <m/>
    <m/>
    <m/>
    <e v="#DIV/0!"/>
    <m/>
    <m/>
    <m/>
    <m/>
    <m/>
    <s v="4 Implementation In Progress"/>
    <s v="4 Implementation In Progress"/>
    <x v="14"/>
    <n v="0.8"/>
    <s v="Green"/>
    <s v="Green"/>
    <s v="."/>
    <s v="GEDSI Advisor Sue contracted by UNDRR."/>
  </r>
  <r>
    <x v="0"/>
    <x v="0"/>
    <x v="24"/>
    <n v="14"/>
    <x v="24"/>
    <x v="65"/>
    <n v="14"/>
    <n v="0"/>
    <m/>
    <s v=""/>
    <x v="3"/>
    <x v="2"/>
    <m/>
    <m/>
    <m/>
    <m/>
    <n v="2025"/>
    <s v="[1/8/25] Honsol awaiting procurement to extend Sue's contract. Pomate to obtain copy of standard SPREP Job description needed for new Officer"/>
    <n v="23433.506944444449"/>
    <s v="All"/>
    <x v="1"/>
    <n v="461171.41666666669"/>
    <m/>
    <m/>
    <m/>
    <x v="6"/>
    <n v="461171.41666666669"/>
    <s v=""/>
    <s v=""/>
    <m/>
    <m/>
    <n v="56240.416666666672"/>
    <n v="134977"/>
    <n v="134977"/>
    <n v="134977"/>
    <m/>
    <m/>
    <m/>
    <m/>
    <m/>
    <m/>
    <m/>
    <n v="0"/>
    <m/>
    <n v="0"/>
    <m/>
    <m/>
    <m/>
    <m/>
    <m/>
    <e v="#DIV/0!"/>
    <m/>
    <m/>
    <m/>
    <m/>
    <m/>
    <s v="1 Concept"/>
    <s v="1 Concept"/>
    <x v="2"/>
    <n v="0.1"/>
    <s v="Amber"/>
    <s v="Amber"/>
    <s v="Recruitment deferred to 2026."/>
    <s v="JD drafted. Recruitment delayed. "/>
  </r>
  <r>
    <x v="3"/>
    <x v="4"/>
    <x v="25"/>
    <n v="27"/>
    <x v="25"/>
    <x v="66"/>
    <n v="27"/>
    <s v="03"/>
    <m/>
    <s v="2703"/>
    <x v="3"/>
    <x v="2"/>
    <m/>
    <m/>
    <m/>
    <m/>
    <n v="2025"/>
    <s v="[1/8/25] 'Ofa to shortlist and interview"/>
    <m/>
    <s v="All"/>
    <x v="1"/>
    <n v="129352.06000000001"/>
    <m/>
    <m/>
    <m/>
    <x v="2"/>
    <n v="129352.06000000001"/>
    <s v=""/>
    <s v=""/>
    <m/>
    <n v="17405.060000000001"/>
    <n v="111947.00000000001"/>
    <m/>
    <m/>
    <m/>
    <m/>
    <m/>
    <m/>
    <m/>
    <m/>
    <m/>
    <n v="17405.060000000001"/>
    <n v="17405.060000000001"/>
    <m/>
    <n v="0.13455572334912949"/>
    <m/>
    <m/>
    <m/>
    <m/>
    <m/>
    <e v="#DIV/0!"/>
    <m/>
    <m/>
    <m/>
    <m/>
    <m/>
    <s v="3 Agreement"/>
    <s v="3 Agreement"/>
    <x v="13"/>
    <n v="0.5"/>
    <s v="Amber"/>
    <s v="Amber"/>
    <s v="Recruitment delayed"/>
    <s v="Advertisement closed. Recruitment delayed. "/>
  </r>
  <r>
    <x v="3"/>
    <x v="4"/>
    <x v="25"/>
    <n v="27"/>
    <x v="25"/>
    <x v="67"/>
    <n v="27"/>
    <n v="0"/>
    <m/>
    <s v=""/>
    <x v="3"/>
    <x v="2"/>
    <m/>
    <m/>
    <m/>
    <m/>
    <m/>
    <m/>
    <m/>
    <s v="All"/>
    <x v="1"/>
    <n v="585022.16666666663"/>
    <m/>
    <m/>
    <m/>
    <x v="3"/>
    <n v="585022.16666666663"/>
    <s v=""/>
    <s v=""/>
    <m/>
    <m/>
    <n v="95236.166666666657"/>
    <n v="163262"/>
    <n v="163262"/>
    <n v="163262"/>
    <m/>
    <m/>
    <m/>
    <m/>
    <m/>
    <m/>
    <m/>
    <n v="0"/>
    <m/>
    <n v="0"/>
    <m/>
    <m/>
    <m/>
    <m/>
    <m/>
    <e v="#DIV/0!"/>
    <m/>
    <m/>
    <m/>
    <m/>
    <m/>
    <s v="3 Agreement"/>
    <s v="3 Agreement"/>
    <x v="13"/>
    <n v="0.5"/>
    <s v="Amber"/>
    <s v="Amber"/>
    <s v="."/>
    <s v="Advertisement closed. Recruitment delayed. "/>
  </r>
  <r>
    <x v="2"/>
    <x v="3"/>
    <x v="26"/>
    <n v="57"/>
    <x v="26"/>
    <x v="68"/>
    <n v="57"/>
    <n v="0"/>
    <m/>
    <s v=""/>
    <x v="3"/>
    <x v="2"/>
    <m/>
    <m/>
    <m/>
    <m/>
    <n v="2025"/>
    <s v="[1/8/25] 'Ofa to draft job description"/>
    <n v="0"/>
    <s v="All"/>
    <x v="1"/>
    <n v="163262"/>
    <m/>
    <m/>
    <m/>
    <x v="3"/>
    <n v="163262"/>
    <s v=""/>
    <s v=""/>
    <m/>
    <m/>
    <m/>
    <m/>
    <m/>
    <n v="163262"/>
    <m/>
    <m/>
    <m/>
    <m/>
    <m/>
    <m/>
    <m/>
    <n v="0"/>
    <m/>
    <n v="0"/>
    <m/>
    <m/>
    <m/>
    <m/>
    <m/>
    <e v="#DIV/0!"/>
    <m/>
    <m/>
    <m/>
    <m/>
    <m/>
    <s v="Paused"/>
    <s v="Paused"/>
    <x v="5"/>
    <n v="0"/>
    <s v="-"/>
    <s v="-"/>
    <s v="."/>
    <s v="Postpone recruitment and focus efforts on other KRAs with existing committed funding. "/>
  </r>
  <r>
    <x v="0"/>
    <x v="0"/>
    <x v="24"/>
    <n v="14"/>
    <x v="24"/>
    <x v="69"/>
    <n v="14"/>
    <n v="0"/>
    <m/>
    <s v=""/>
    <x v="3"/>
    <x v="2"/>
    <m/>
    <m/>
    <m/>
    <m/>
    <n v="2025"/>
    <s v="[1/8/25] 'Ofa to interview"/>
    <n v="94961.636666666658"/>
    <s v="All"/>
    <x v="1"/>
    <n v="578629.22"/>
    <m/>
    <m/>
    <m/>
    <x v="3"/>
    <n v="578629.22"/>
    <s v=""/>
    <s v=""/>
    <m/>
    <n v="38721.219999999994"/>
    <n v="134977"/>
    <n v="134977"/>
    <n v="134977"/>
    <n v="134977"/>
    <m/>
    <m/>
    <m/>
    <m/>
    <m/>
    <m/>
    <n v="38721.219999999994"/>
    <n v="38721.219999999994"/>
    <m/>
    <n v="6.6918881144647335E-2"/>
    <m/>
    <m/>
    <m/>
    <m/>
    <m/>
    <e v="#DIV/0!"/>
    <m/>
    <m/>
    <m/>
    <m/>
    <m/>
    <s v="2 Appraisal"/>
    <s v="2 Appraisal"/>
    <x v="13"/>
    <n v="0.5"/>
    <s v="Amber"/>
    <s v="Amber"/>
    <s v="Actual cost higher than budgeted."/>
    <s v="Advertisement closed. Recruitment delayed. "/>
  </r>
  <r>
    <x v="0"/>
    <x v="0"/>
    <x v="24"/>
    <n v="14"/>
    <x v="24"/>
    <x v="70"/>
    <n v="14"/>
    <n v="0"/>
    <m/>
    <s v=""/>
    <x v="3"/>
    <x v="2"/>
    <m/>
    <m/>
    <m/>
    <m/>
    <n v="2025"/>
    <s v="[1/8/25] Awaiting job ad to close 15 August"/>
    <n v="56240.416666666664"/>
    <s v="All"/>
    <x v="1"/>
    <n v="539908"/>
    <m/>
    <m/>
    <m/>
    <x v="3"/>
    <n v="539908"/>
    <s v=""/>
    <s v=""/>
    <m/>
    <m/>
    <n v="134977"/>
    <n v="134977"/>
    <n v="134977"/>
    <n v="134977"/>
    <m/>
    <m/>
    <m/>
    <m/>
    <m/>
    <m/>
    <m/>
    <n v="0"/>
    <m/>
    <n v="0"/>
    <m/>
    <m/>
    <m/>
    <m/>
    <m/>
    <e v="#DIV/0!"/>
    <m/>
    <m/>
    <m/>
    <m/>
    <m/>
    <s v="2 Appraisal"/>
    <s v="2 Appraisal"/>
    <x v="13"/>
    <n v="0.5"/>
    <s v="Amber"/>
    <s v="Amber"/>
    <s v="Recruitment deferred to 2026."/>
    <s v="Advertisement closed. Recruitment delayed. "/>
  </r>
  <r>
    <x v="2"/>
    <x v="3"/>
    <x v="27"/>
    <n v="51"/>
    <x v="27"/>
    <x v="71"/>
    <n v="51"/>
    <s v="01"/>
    <m/>
    <s v="5101"/>
    <x v="0"/>
    <x v="2"/>
    <m/>
    <m/>
    <s v="Terry"/>
    <m/>
    <m/>
    <m/>
    <m/>
    <s v="All"/>
    <x v="1"/>
    <n v="20000.000695652201"/>
    <m/>
    <m/>
    <m/>
    <x v="1"/>
    <n v="20000.000695652201"/>
    <s v=""/>
    <s v=""/>
    <m/>
    <m/>
    <m/>
    <n v="20000.000695652201"/>
    <m/>
    <m/>
    <m/>
    <m/>
    <m/>
    <m/>
    <m/>
    <m/>
    <m/>
    <n v="0"/>
    <m/>
    <n v="0"/>
    <m/>
    <m/>
    <m/>
    <m/>
    <m/>
    <e v="#DIV/0!"/>
    <m/>
    <m/>
    <m/>
    <m/>
    <m/>
    <s v="Not Started"/>
    <s v="Not Started"/>
    <x v="5"/>
    <n v="0"/>
    <s v="-"/>
    <s v="-"/>
    <s v="."/>
    <s v="-"/>
  </r>
  <r>
    <x v="0"/>
    <x v="0"/>
    <x v="24"/>
    <n v="14"/>
    <x v="24"/>
    <x v="72"/>
    <n v="14"/>
    <n v="0"/>
    <m/>
    <s v=""/>
    <x v="3"/>
    <x v="2"/>
    <m/>
    <m/>
    <m/>
    <m/>
    <n v="2025"/>
    <s v="[1/8/25] Pomate to obtain copy of standard SPREP Job description needed for new Officer"/>
    <n v="37493.611111111117"/>
    <s v="All"/>
    <x v="1"/>
    <n v="494915.66666666669"/>
    <m/>
    <m/>
    <m/>
    <x v="3"/>
    <n v="494915.66666666669"/>
    <s v=""/>
    <s v=""/>
    <m/>
    <m/>
    <n v="89984.666666666672"/>
    <n v="134977"/>
    <n v="134977"/>
    <n v="134977"/>
    <m/>
    <m/>
    <m/>
    <m/>
    <m/>
    <m/>
    <m/>
    <n v="0"/>
    <m/>
    <n v="0"/>
    <m/>
    <m/>
    <m/>
    <m/>
    <m/>
    <e v="#DIV/0!"/>
    <m/>
    <m/>
    <m/>
    <m/>
    <m/>
    <s v="1 Concept"/>
    <s v="1 Concept"/>
    <x v="2"/>
    <n v="0.1"/>
    <s v="Amber"/>
    <s v="Amber"/>
    <s v="Recruitment deferred to 2026."/>
    <s v="JD drafted. Recruitment delayed."/>
  </r>
  <r>
    <x v="0"/>
    <x v="0"/>
    <x v="24"/>
    <n v="14"/>
    <x v="24"/>
    <x v="73"/>
    <n v="14"/>
    <n v="0"/>
    <m/>
    <s v=""/>
    <x v="3"/>
    <x v="2"/>
    <m/>
    <m/>
    <m/>
    <m/>
    <m/>
    <s v="[25/8/25] Engage consultant or TA instead to develop strategy and support implementation"/>
    <m/>
    <s v="All"/>
    <x v="1"/>
    <n v="0"/>
    <m/>
    <m/>
    <m/>
    <x v="3"/>
    <n v="0"/>
    <s v=""/>
    <s v=""/>
    <m/>
    <m/>
    <m/>
    <m/>
    <m/>
    <m/>
    <m/>
    <m/>
    <m/>
    <m/>
    <m/>
    <m/>
    <m/>
    <n v="0"/>
    <m/>
    <s v="-"/>
    <m/>
    <m/>
    <m/>
    <m/>
    <m/>
    <e v="#DIV/0!"/>
    <m/>
    <m/>
    <m/>
    <m/>
    <m/>
    <s v="Paused"/>
    <s v="Paused"/>
    <x v="5"/>
    <n v="0"/>
    <s v="-"/>
    <s v="-"/>
    <s v="."/>
    <s v="Decision to prioritise development of resource mobilisation strategy and paused recruitment (budget allocation removed for now)"/>
  </r>
  <r>
    <x v="0"/>
    <x v="0"/>
    <x v="24"/>
    <n v="14"/>
    <x v="24"/>
    <x v="74"/>
    <n v="14"/>
    <n v="0"/>
    <m/>
    <s v=""/>
    <x v="3"/>
    <x v="2"/>
    <m/>
    <m/>
    <m/>
    <m/>
    <n v="2026"/>
    <m/>
    <n v="21977.777777777781"/>
    <s v="All"/>
    <x v="1"/>
    <n v="432522.66666666669"/>
    <m/>
    <m/>
    <m/>
    <x v="3"/>
    <n v="432522.66666666669"/>
    <s v=""/>
    <s v=""/>
    <m/>
    <m/>
    <n v="52746.666666666672"/>
    <n v="126592"/>
    <n v="126592"/>
    <n v="126592"/>
    <m/>
    <m/>
    <m/>
    <m/>
    <m/>
    <m/>
    <m/>
    <n v="0"/>
    <m/>
    <n v="0"/>
    <m/>
    <m/>
    <m/>
    <m/>
    <m/>
    <e v="#DIV/0!"/>
    <m/>
    <m/>
    <m/>
    <m/>
    <m/>
    <s v="Not Started"/>
    <s v="Not Started"/>
    <x v="5"/>
    <n v="0"/>
    <s v="Amber"/>
    <s v="Amber"/>
    <s v="."/>
    <s v="Recruitment delayed."/>
  </r>
  <r>
    <x v="0"/>
    <x v="0"/>
    <x v="24"/>
    <n v="14"/>
    <x v="24"/>
    <x v="75"/>
    <n v="14"/>
    <n v="0"/>
    <m/>
    <s v=""/>
    <x v="3"/>
    <x v="2"/>
    <m/>
    <m/>
    <m/>
    <m/>
    <m/>
    <m/>
    <m/>
    <s v="All"/>
    <x v="1"/>
    <n v="0"/>
    <m/>
    <m/>
    <m/>
    <x v="3"/>
    <n v="0"/>
    <s v=""/>
    <s v=""/>
    <m/>
    <m/>
    <m/>
    <m/>
    <m/>
    <m/>
    <m/>
    <m/>
    <m/>
    <m/>
    <m/>
    <m/>
    <m/>
    <n v="0"/>
    <m/>
    <s v="-"/>
    <m/>
    <m/>
    <m/>
    <m/>
    <m/>
    <e v="#DIV/0!"/>
    <m/>
    <m/>
    <m/>
    <m/>
    <m/>
    <s v="Not Started"/>
    <s v="Not Started"/>
    <x v="5"/>
    <n v="0"/>
    <s v="-"/>
    <s v="-"/>
    <s v="."/>
    <s v="-"/>
  </r>
  <r>
    <x v="0"/>
    <x v="0"/>
    <x v="24"/>
    <n v="14"/>
    <x v="24"/>
    <x v="76"/>
    <n v="14"/>
    <n v="0"/>
    <m/>
    <s v=""/>
    <x v="3"/>
    <x v="2"/>
    <m/>
    <m/>
    <m/>
    <m/>
    <m/>
    <m/>
    <m/>
    <s v="All"/>
    <x v="1"/>
    <n v="0"/>
    <m/>
    <m/>
    <m/>
    <x v="3"/>
    <n v="0"/>
    <s v=""/>
    <s v=""/>
    <m/>
    <m/>
    <m/>
    <m/>
    <m/>
    <m/>
    <m/>
    <m/>
    <m/>
    <m/>
    <m/>
    <m/>
    <m/>
    <n v="0"/>
    <m/>
    <s v="-"/>
    <m/>
    <m/>
    <m/>
    <m/>
    <m/>
    <e v="#DIV/0!"/>
    <m/>
    <m/>
    <m/>
    <m/>
    <m/>
    <s v="Not Started"/>
    <s v="Not Started"/>
    <x v="5"/>
    <n v="0"/>
    <s v="-"/>
    <s v="-"/>
    <s v="."/>
    <s v="-"/>
  </r>
  <r>
    <x v="0"/>
    <x v="0"/>
    <x v="1"/>
    <n v="11"/>
    <x v="1"/>
    <x v="77"/>
    <n v="11"/>
    <s v="06"/>
    <m/>
    <s v="1106"/>
    <x v="1"/>
    <x v="2"/>
    <m/>
    <m/>
    <s v="Ange"/>
    <m/>
    <m/>
    <m/>
    <n v="0"/>
    <s v="All"/>
    <x v="1"/>
    <n v="0"/>
    <m/>
    <m/>
    <m/>
    <x v="3"/>
    <n v="0"/>
    <s v=""/>
    <s v=""/>
    <m/>
    <m/>
    <n v="0"/>
    <m/>
    <m/>
    <m/>
    <m/>
    <m/>
    <m/>
    <m/>
    <m/>
    <m/>
    <m/>
    <n v="0"/>
    <m/>
    <s v="-"/>
    <m/>
    <m/>
    <m/>
    <m/>
    <m/>
    <e v="#DIV/0!"/>
    <m/>
    <m/>
    <m/>
    <m/>
    <m/>
    <s v="Not Started"/>
    <s v="Not Started"/>
    <x v="5"/>
    <n v="0"/>
    <s v="-"/>
    <s v="-"/>
    <s v="."/>
    <s v="Awaiting Communication Officer to be onboard. Expected in Q4 2025."/>
  </r>
  <r>
    <x v="0"/>
    <x v="0"/>
    <x v="1"/>
    <n v="11"/>
    <x v="1"/>
    <x v="78"/>
    <n v="11"/>
    <s v="07"/>
    <m/>
    <s v="1107"/>
    <x v="1"/>
    <x v="2"/>
    <m/>
    <m/>
    <s v="Ofa"/>
    <m/>
    <n v="2025"/>
    <s v="[1/8/25] Ofa to confirm if world bank can fund the development"/>
    <m/>
    <s v="All"/>
    <x v="1"/>
    <n v="50000"/>
    <m/>
    <m/>
    <m/>
    <x v="3"/>
    <n v="50000"/>
    <s v=""/>
    <s v=""/>
    <m/>
    <m/>
    <n v="50000"/>
    <m/>
    <m/>
    <m/>
    <m/>
    <m/>
    <m/>
    <m/>
    <m/>
    <m/>
    <m/>
    <n v="0"/>
    <m/>
    <n v="0"/>
    <m/>
    <m/>
    <m/>
    <m/>
    <m/>
    <e v="#DIV/0!"/>
    <m/>
    <m/>
    <m/>
    <m/>
    <m/>
    <s v="1 Concept"/>
    <s v="1 Concept"/>
    <x v="15"/>
    <n v="0.05"/>
    <s v="Green"/>
    <s v="Green"/>
    <s v="."/>
    <s v="Decision to prioritise development of resource mobilisation strategy to be excuted by Ofa, Sal and Salome. The need for a resource mobilisation officer to be reviewed (paused for now and removed from budgeting). World bank confirmed funding TA to develop strategy as aligns well with the Investment facility and asset management activity. "/>
  </r>
  <r>
    <x v="0"/>
    <x v="0"/>
    <x v="1"/>
    <n v="11"/>
    <x v="1"/>
    <x v="79"/>
    <n v="11"/>
    <s v="08"/>
    <m/>
    <s v="1108"/>
    <x v="1"/>
    <x v="2"/>
    <m/>
    <m/>
    <s v="Ofa"/>
    <m/>
    <n v="2025"/>
    <s v="[1/8/25] Jess &amp; Sue to meet with Jope 8/8/25 to confirm if procurement needed for ESS framework to be developed for WRP"/>
    <n v="0"/>
    <s v="All"/>
    <x v="1"/>
    <n v="25000"/>
    <m/>
    <m/>
    <m/>
    <x v="3"/>
    <n v="25000"/>
    <s v=""/>
    <s v=""/>
    <m/>
    <m/>
    <n v="25000"/>
    <m/>
    <m/>
    <m/>
    <m/>
    <m/>
    <m/>
    <m/>
    <m/>
    <m/>
    <m/>
    <n v="0"/>
    <m/>
    <n v="0"/>
    <m/>
    <m/>
    <m/>
    <m/>
    <m/>
    <e v="#DIV/0!"/>
    <m/>
    <m/>
    <m/>
    <m/>
    <m/>
    <s v="1 Concept"/>
    <s v="1 Concept"/>
    <x v="15"/>
    <n v="0.05"/>
    <s v="Green"/>
    <s v="Green"/>
    <s v="."/>
    <s v="SPREP ESS team to undertake initial programme screening per SPREP process and develop WRP operations manual chapter. "/>
  </r>
  <r>
    <x v="0"/>
    <x v="0"/>
    <x v="1"/>
    <n v="11"/>
    <x v="1"/>
    <x v="80"/>
    <n v="11"/>
    <s v="09"/>
    <m/>
    <s v="1109"/>
    <x v="0"/>
    <x v="2"/>
    <m/>
    <m/>
    <s v="Honsol"/>
    <m/>
    <n v="2025"/>
    <s v="Honsol to confirm if this is pooled fund consultant?"/>
    <n v="38727"/>
    <s v="All"/>
    <x v="1"/>
    <n v="100000"/>
    <m/>
    <m/>
    <m/>
    <x v="3"/>
    <n v="100000"/>
    <s v=""/>
    <s v=""/>
    <m/>
    <n v="38727"/>
    <n v="61273"/>
    <m/>
    <m/>
    <m/>
    <m/>
    <m/>
    <m/>
    <m/>
    <m/>
    <m/>
    <n v="38727"/>
    <n v="38727"/>
    <m/>
    <n v="0.38727"/>
    <m/>
    <m/>
    <m/>
    <m/>
    <m/>
    <e v="#DIV/0!"/>
    <m/>
    <m/>
    <m/>
    <m/>
    <m/>
    <s v="4 Implementation In Progress"/>
    <s v="4 Implementation In Progress"/>
    <x v="18"/>
    <n v="0.7"/>
    <s v="Green"/>
    <s v="Green"/>
    <s v="Consultant commenced in 2025 and work will be completed in 2026."/>
    <s v="UK consultant &quot;MDY&quot; engaged and completed options report for SPREP and SC. "/>
  </r>
  <r>
    <x v="0"/>
    <x v="0"/>
    <x v="0"/>
    <n v="12"/>
    <x v="0"/>
    <x v="81"/>
    <n v="12"/>
    <s v="03"/>
    <m/>
    <s v="1203"/>
    <x v="1"/>
    <x v="2"/>
    <m/>
    <m/>
    <s v="Honsol"/>
    <m/>
    <m/>
    <m/>
    <n v="34985.21"/>
    <s v="-"/>
    <x v="1"/>
    <n v="187933.7"/>
    <m/>
    <m/>
    <m/>
    <x v="6"/>
    <n v="187933.7"/>
    <s v=""/>
    <s v=""/>
    <n v="21803.49"/>
    <n v="19310.21"/>
    <n v="37620"/>
    <n v="36400"/>
    <n v="36400"/>
    <n v="36400"/>
    <m/>
    <m/>
    <m/>
    <m/>
    <n v="21803.49"/>
    <n v="640.89"/>
    <n v="19310.21"/>
    <n v="41113.699999999997"/>
    <m/>
    <n v="0.21876704390963406"/>
    <m/>
    <m/>
    <m/>
    <m/>
    <m/>
    <e v="#DIV/0!"/>
    <m/>
    <m/>
    <m/>
    <m/>
    <m/>
    <s v="4 Implementation In Progress"/>
    <s v="4 Implementation In Progress"/>
    <x v="8"/>
    <n v="0.2"/>
    <s v="Green"/>
    <s v="Green"/>
    <s v="Actual cost higher than budgeted."/>
    <s v="-"/>
  </r>
  <r>
    <x v="2"/>
    <x v="3"/>
    <x v="27"/>
    <n v="51"/>
    <x v="27"/>
    <x v="82"/>
    <n v="51"/>
    <s v="02"/>
    <m/>
    <s v="5102"/>
    <x v="1"/>
    <x v="2"/>
    <m/>
    <m/>
    <s v="Terry"/>
    <m/>
    <m/>
    <m/>
    <m/>
    <s v="All"/>
    <x v="1"/>
    <n v="50000.000217391294"/>
    <m/>
    <m/>
    <m/>
    <x v="1"/>
    <n v="50000.000217391294"/>
    <s v=""/>
    <s v=""/>
    <m/>
    <m/>
    <m/>
    <n v="50000.000217391294"/>
    <m/>
    <m/>
    <m/>
    <m/>
    <m/>
    <m/>
    <m/>
    <m/>
    <m/>
    <n v="0"/>
    <m/>
    <n v="0"/>
    <m/>
    <m/>
    <m/>
    <m/>
    <m/>
    <e v="#DIV/0!"/>
    <m/>
    <m/>
    <m/>
    <m/>
    <m/>
    <s v="Not Started"/>
    <s v="Not Started"/>
    <x v="5"/>
    <n v="0"/>
    <s v="-"/>
    <s v="-"/>
    <s v="."/>
    <s v="-"/>
  </r>
  <r>
    <x v="4"/>
    <x v="6"/>
    <x v="8"/>
    <n v="32"/>
    <x v="8"/>
    <x v="83"/>
    <n v="32"/>
    <s v="07"/>
    <m/>
    <s v="3207"/>
    <x v="0"/>
    <x v="2"/>
    <m/>
    <m/>
    <s v="Marica"/>
    <m/>
    <n v="2025"/>
    <s v="[1/8/15] To discuss with this can be added to SPC LOA scope. "/>
    <n v="0"/>
    <s v="All"/>
    <x v="1"/>
    <n v="20000"/>
    <m/>
    <m/>
    <m/>
    <x v="3"/>
    <n v="20000"/>
    <s v=""/>
    <s v=""/>
    <m/>
    <m/>
    <m/>
    <n v="20000"/>
    <m/>
    <m/>
    <m/>
    <m/>
    <m/>
    <m/>
    <m/>
    <m/>
    <m/>
    <n v="0"/>
    <m/>
    <n v="0"/>
    <m/>
    <m/>
    <m/>
    <m/>
    <m/>
    <e v="#DIV/0!"/>
    <m/>
    <m/>
    <m/>
    <m/>
    <m/>
    <s v="Not Started"/>
    <s v="Not Started"/>
    <x v="5"/>
    <n v="0"/>
    <s v="-"/>
    <s v="-"/>
    <s v="Deferred to 2027"/>
    <s v="Need to identify which organisation will do this work. "/>
  </r>
  <r>
    <x v="4"/>
    <x v="6"/>
    <x v="8"/>
    <n v="32"/>
    <x v="8"/>
    <x v="84"/>
    <n v="32"/>
    <s v="08"/>
    <m/>
    <s v="3208"/>
    <x v="0"/>
    <x v="2"/>
    <m/>
    <m/>
    <s v="Marica"/>
    <m/>
    <n v="2025"/>
    <s v="[1/8/15] To discuss with this can be added to SPC LOA scope. "/>
    <n v="0"/>
    <s v="All"/>
    <x v="1"/>
    <n v="20000"/>
    <m/>
    <m/>
    <m/>
    <x v="3"/>
    <n v="20000"/>
    <s v=""/>
    <s v=""/>
    <m/>
    <m/>
    <m/>
    <n v="20000"/>
    <m/>
    <m/>
    <m/>
    <m/>
    <m/>
    <m/>
    <m/>
    <m/>
    <m/>
    <n v="0"/>
    <m/>
    <n v="0"/>
    <m/>
    <m/>
    <m/>
    <m/>
    <m/>
    <e v="#DIV/0!"/>
    <m/>
    <m/>
    <m/>
    <m/>
    <m/>
    <s v="Not Started"/>
    <s v="Not Started"/>
    <x v="5"/>
    <n v="0"/>
    <s v="-"/>
    <s v="-"/>
    <s v="Deferred to 2027, after hydrology stategy is devloped in 2026."/>
    <s v="Need to identify which organisation will do this work. "/>
  </r>
  <r>
    <x v="4"/>
    <x v="6"/>
    <x v="8"/>
    <n v="32"/>
    <x v="8"/>
    <x v="85"/>
    <n v="32"/>
    <s v="09"/>
    <m/>
    <s v="3209"/>
    <x v="0"/>
    <x v="2"/>
    <m/>
    <m/>
    <s v="Terry"/>
    <m/>
    <n v="2026"/>
    <m/>
    <n v="0"/>
    <s v="All"/>
    <x v="1"/>
    <n v="10000"/>
    <m/>
    <m/>
    <m/>
    <x v="3"/>
    <n v="10000"/>
    <s v=""/>
    <s v=""/>
    <m/>
    <m/>
    <m/>
    <n v="10000"/>
    <m/>
    <m/>
    <m/>
    <m/>
    <m/>
    <m/>
    <m/>
    <m/>
    <m/>
    <n v="0"/>
    <m/>
    <n v="0"/>
    <m/>
    <m/>
    <m/>
    <m/>
    <m/>
    <e v="#DIV/0!"/>
    <m/>
    <m/>
    <m/>
    <m/>
    <m/>
    <s v="Not Started"/>
    <s v="Not Started"/>
    <x v="5"/>
    <n v="0"/>
    <s v="-"/>
    <s v="-"/>
    <s v="."/>
    <s v="Need to identify which organisation will do this work. "/>
  </r>
  <r>
    <x v="4"/>
    <x v="6"/>
    <x v="8"/>
    <n v="32"/>
    <x v="8"/>
    <x v="86"/>
    <n v="32"/>
    <n v="10"/>
    <m/>
    <s v="3210"/>
    <x v="0"/>
    <x v="2"/>
    <m/>
    <m/>
    <s v="Terry"/>
    <m/>
    <n v="2026"/>
    <m/>
    <n v="0"/>
    <s v="All"/>
    <x v="1"/>
    <n v="20000"/>
    <m/>
    <m/>
    <m/>
    <x v="3"/>
    <n v="20000"/>
    <s v=""/>
    <s v=""/>
    <m/>
    <m/>
    <m/>
    <n v="20000"/>
    <m/>
    <m/>
    <m/>
    <m/>
    <m/>
    <m/>
    <m/>
    <m/>
    <m/>
    <n v="0"/>
    <m/>
    <n v="0"/>
    <m/>
    <m/>
    <m/>
    <m/>
    <m/>
    <e v="#DIV/0!"/>
    <m/>
    <m/>
    <m/>
    <m/>
    <m/>
    <m/>
    <m/>
    <x v="19"/>
    <m/>
    <m/>
    <m/>
    <s v="."/>
    <m/>
  </r>
  <r>
    <x v="2"/>
    <x v="3"/>
    <x v="4"/>
    <n v="54"/>
    <x v="4"/>
    <x v="5"/>
    <n v="54"/>
    <s v="01"/>
    <m/>
    <s v="5401"/>
    <x v="1"/>
    <x v="2"/>
    <m/>
    <m/>
    <s v="Terry"/>
    <m/>
    <n v="2026"/>
    <m/>
    <m/>
    <s v="-"/>
    <x v="1"/>
    <n v="86956.521739130447"/>
    <m/>
    <m/>
    <m/>
    <x v="1"/>
    <n v="86956.521739130447"/>
    <s v=""/>
    <m/>
    <m/>
    <m/>
    <n v="86956.521739130447"/>
    <m/>
    <m/>
    <m/>
    <m/>
    <m/>
    <m/>
    <m/>
    <m/>
    <m/>
    <m/>
    <n v="0"/>
    <m/>
    <n v="0"/>
    <m/>
    <m/>
    <m/>
    <m/>
    <m/>
    <e v="#DIV/0!"/>
    <m/>
    <m/>
    <m/>
    <m/>
    <m/>
    <s v="Not Started"/>
    <s v="Not Started"/>
    <x v="5"/>
    <n v="0"/>
    <s v="-"/>
    <s v="-"/>
    <s v="."/>
    <s v="-"/>
  </r>
  <r>
    <x v="4"/>
    <x v="6"/>
    <x v="16"/>
    <n v="71"/>
    <x v="16"/>
    <x v="87"/>
    <m/>
    <m/>
    <m/>
    <s v=""/>
    <x v="2"/>
    <x v="5"/>
    <m/>
    <m/>
    <m/>
    <m/>
    <m/>
    <m/>
    <m/>
    <m/>
    <x v="2"/>
    <n v="0"/>
    <s v="DFAT"/>
    <s v="??"/>
    <m/>
    <x v="4"/>
    <n v="0"/>
    <s v=""/>
    <s v=""/>
    <m/>
    <m/>
    <m/>
    <m/>
    <m/>
    <m/>
    <m/>
    <m/>
    <m/>
    <m/>
    <m/>
    <m/>
    <m/>
    <n v="0"/>
    <m/>
    <s v="-"/>
    <m/>
    <m/>
    <m/>
    <m/>
    <m/>
    <e v="#DIV/0!"/>
    <m/>
    <m/>
    <m/>
    <m/>
    <m/>
    <m/>
    <m/>
    <x v="11"/>
    <s v="-"/>
    <s v="-"/>
    <s v="-"/>
    <s v="."/>
    <s v="-"/>
  </r>
  <r>
    <x v="3"/>
    <x v="4"/>
    <x v="14"/>
    <n v="24"/>
    <x v="14"/>
    <x v="88"/>
    <m/>
    <m/>
    <m/>
    <s v=""/>
    <x v="2"/>
    <x v="5"/>
    <m/>
    <m/>
    <m/>
    <m/>
    <m/>
    <m/>
    <m/>
    <m/>
    <x v="2"/>
    <n v="0"/>
    <s v="DFAT"/>
    <s v="??"/>
    <m/>
    <x v="4"/>
    <n v="0"/>
    <s v=""/>
    <s v=""/>
    <m/>
    <m/>
    <m/>
    <m/>
    <m/>
    <m/>
    <m/>
    <m/>
    <m/>
    <m/>
    <m/>
    <m/>
    <m/>
    <n v="0"/>
    <m/>
    <s v="-"/>
    <m/>
    <m/>
    <m/>
    <m/>
    <m/>
    <e v="#DIV/0!"/>
    <m/>
    <m/>
    <m/>
    <m/>
    <m/>
    <m/>
    <m/>
    <x v="11"/>
    <s v="-"/>
    <s v="-"/>
    <s v="-"/>
    <s v="."/>
    <s v="-"/>
  </r>
  <r>
    <x v="1"/>
    <x v="5"/>
    <x v="28"/>
    <n v="46"/>
    <x v="28"/>
    <x v="89"/>
    <n v="46"/>
    <s v="01"/>
    <n v="2502"/>
    <s v="4601"/>
    <x v="0"/>
    <x v="13"/>
    <m/>
    <m/>
    <s v="Terry"/>
    <m/>
    <n v="2025"/>
    <s v="[Jess: 1/8/25] Honsol finalising LOA. Need 'Ofa to review. "/>
    <n v="92973.75"/>
    <s v="All"/>
    <x v="1"/>
    <n v="842962"/>
    <s v="SPC, _x000a_WMO CREWS 3.0, Australian Water Partnership, _x000a_Global Environment Facility/Food and Agriculture Organisation"/>
    <n v="749988.25"/>
    <m/>
    <x v="3"/>
    <n v="92973.75"/>
    <s v=""/>
    <s v=""/>
    <m/>
    <n v="0"/>
    <n v="92973.75"/>
    <n v="0"/>
    <m/>
    <m/>
    <m/>
    <m/>
    <m/>
    <m/>
    <m/>
    <m/>
    <m/>
    <n v="0"/>
    <m/>
    <n v="0"/>
    <m/>
    <m/>
    <m/>
    <m/>
    <m/>
    <e v="#DIV/0!"/>
    <m/>
    <m/>
    <m/>
    <m/>
    <m/>
    <s v="3 Agreement"/>
    <s v="3 Agreement"/>
    <x v="8"/>
    <n v="0.2"/>
    <s v="Green"/>
    <s v="Green"/>
    <s v="Work started in 2025 and to be completed in 2026."/>
    <s v="Concept Note developed. Cotract/LOA being established. "/>
  </r>
  <r>
    <x v="3"/>
    <x v="9"/>
    <x v="15"/>
    <n v="28"/>
    <x v="15"/>
    <x v="90"/>
    <m/>
    <m/>
    <m/>
    <s v=""/>
    <x v="2"/>
    <x v="5"/>
    <m/>
    <m/>
    <m/>
    <m/>
    <m/>
    <m/>
    <m/>
    <s v="Solomon Islands"/>
    <x v="2"/>
    <n v="0"/>
    <s v="DFAT"/>
    <s v="??"/>
    <m/>
    <x v="4"/>
    <n v="0"/>
    <s v=""/>
    <s v=""/>
    <m/>
    <m/>
    <m/>
    <m/>
    <m/>
    <m/>
    <m/>
    <m/>
    <m/>
    <m/>
    <m/>
    <m/>
    <m/>
    <n v="0"/>
    <m/>
    <s v="-"/>
    <m/>
    <m/>
    <m/>
    <m/>
    <m/>
    <e v="#DIV/0!"/>
    <m/>
    <m/>
    <m/>
    <m/>
    <m/>
    <m/>
    <m/>
    <x v="11"/>
    <s v="-"/>
    <s v="-"/>
    <s v="-"/>
    <m/>
    <s v="-"/>
  </r>
  <r>
    <x v="3"/>
    <x v="9"/>
    <x v="15"/>
    <n v="28"/>
    <x v="15"/>
    <x v="91"/>
    <m/>
    <m/>
    <m/>
    <s v=""/>
    <x v="2"/>
    <x v="5"/>
    <m/>
    <m/>
    <m/>
    <m/>
    <m/>
    <m/>
    <m/>
    <s v="PNG"/>
    <x v="2"/>
    <n v="0"/>
    <s v="DFAT"/>
    <s v="??"/>
    <m/>
    <x v="4"/>
    <n v="0"/>
    <s v=""/>
    <s v=""/>
    <m/>
    <m/>
    <m/>
    <m/>
    <m/>
    <m/>
    <m/>
    <m/>
    <m/>
    <m/>
    <m/>
    <m/>
    <m/>
    <n v="0"/>
    <m/>
    <s v="-"/>
    <m/>
    <m/>
    <m/>
    <m/>
    <m/>
    <e v="#DIV/0!"/>
    <m/>
    <m/>
    <m/>
    <m/>
    <m/>
    <m/>
    <m/>
    <x v="11"/>
    <s v="-"/>
    <s v="-"/>
    <s v="-"/>
    <m/>
    <s v="-"/>
  </r>
  <r>
    <x v="4"/>
    <x v="6"/>
    <x v="29"/>
    <n v="75"/>
    <x v="29"/>
    <x v="92"/>
    <m/>
    <m/>
    <m/>
    <s v=""/>
    <x v="2"/>
    <x v="16"/>
    <m/>
    <m/>
    <m/>
    <m/>
    <m/>
    <m/>
    <m/>
    <m/>
    <x v="2"/>
    <n v="0"/>
    <s v="DFAT/MFAT"/>
    <s v="??"/>
    <m/>
    <x v="4"/>
    <n v="0"/>
    <s v=""/>
    <s v=""/>
    <m/>
    <m/>
    <m/>
    <m/>
    <m/>
    <m/>
    <m/>
    <m/>
    <m/>
    <m/>
    <m/>
    <m/>
    <m/>
    <n v="0"/>
    <m/>
    <s v="-"/>
    <m/>
    <m/>
    <m/>
    <m/>
    <m/>
    <e v="#DIV/0!"/>
    <m/>
    <m/>
    <m/>
    <m/>
    <m/>
    <m/>
    <m/>
    <x v="11"/>
    <s v="-"/>
    <s v="-"/>
    <s v="-"/>
    <s v="."/>
    <s v="-"/>
  </r>
  <r>
    <x v="1"/>
    <x v="5"/>
    <x v="28"/>
    <n v="46"/>
    <x v="28"/>
    <x v="93"/>
    <m/>
    <m/>
    <m/>
    <s v=""/>
    <x v="2"/>
    <x v="13"/>
    <m/>
    <m/>
    <m/>
    <m/>
    <m/>
    <m/>
    <m/>
    <s v="-"/>
    <x v="0"/>
    <n v="347102"/>
    <s v="SPC, _x000a_WMO CREWS 3.0"/>
    <n v="347102"/>
    <m/>
    <x v="3"/>
    <n v="0"/>
    <s v=""/>
    <s v=""/>
    <m/>
    <m/>
    <m/>
    <m/>
    <m/>
    <m/>
    <m/>
    <m/>
    <m/>
    <m/>
    <m/>
    <m/>
    <m/>
    <n v="0"/>
    <m/>
    <s v="-"/>
    <m/>
    <m/>
    <m/>
    <m/>
    <m/>
    <e v="#DIV/0!"/>
    <m/>
    <m/>
    <m/>
    <m/>
    <m/>
    <s v="Cancelled"/>
    <s v="Cancelled"/>
    <x v="11"/>
    <s v="-"/>
    <s v="-"/>
    <s v="-"/>
    <m/>
    <s v="SPC requested project removed from WRP and re-allocate funding re-allocated to hydrology strategy. "/>
  </r>
  <r>
    <x v="2"/>
    <x v="3"/>
    <x v="30"/>
    <n v="52"/>
    <x v="30"/>
    <x v="94"/>
    <m/>
    <m/>
    <m/>
    <s v=""/>
    <x v="2"/>
    <x v="16"/>
    <m/>
    <m/>
    <m/>
    <m/>
    <m/>
    <m/>
    <m/>
    <m/>
    <x v="2"/>
    <n v="0"/>
    <s v="DFAT/MFAT"/>
    <s v="??"/>
    <m/>
    <x v="4"/>
    <n v="0"/>
    <s v=""/>
    <s v=""/>
    <m/>
    <m/>
    <m/>
    <m/>
    <m/>
    <m/>
    <m/>
    <m/>
    <m/>
    <m/>
    <m/>
    <m/>
    <m/>
    <n v="0"/>
    <m/>
    <s v="-"/>
    <m/>
    <m/>
    <m/>
    <m/>
    <m/>
    <e v="#DIV/0!"/>
    <m/>
    <m/>
    <m/>
    <m/>
    <m/>
    <m/>
    <m/>
    <x v="11"/>
    <s v="-"/>
    <s v="-"/>
    <s v="-"/>
    <s v="."/>
    <s v="-"/>
  </r>
  <r>
    <x v="0"/>
    <x v="11"/>
    <x v="31"/>
    <n v="17"/>
    <x v="31"/>
    <x v="95"/>
    <n v="17"/>
    <s v="02"/>
    <n v="2513"/>
    <s v="1702"/>
    <x v="0"/>
    <x v="2"/>
    <m/>
    <m/>
    <s v="Ofa"/>
    <m/>
    <m/>
    <m/>
    <m/>
    <s v="All"/>
    <x v="1"/>
    <n v="100000"/>
    <m/>
    <m/>
    <m/>
    <x v="3"/>
    <n v="100000"/>
    <s v=""/>
    <s v=""/>
    <m/>
    <m/>
    <n v="50000"/>
    <n v="50000"/>
    <m/>
    <m/>
    <m/>
    <m/>
    <m/>
    <m/>
    <m/>
    <m/>
    <m/>
    <n v="0"/>
    <m/>
    <n v="0"/>
    <m/>
    <m/>
    <m/>
    <m/>
    <m/>
    <e v="#DIV/0!"/>
    <m/>
    <m/>
    <m/>
    <m/>
    <m/>
    <s v="Not Started"/>
    <s v="Not Started"/>
    <x v="11"/>
    <s v="-"/>
    <s v="-"/>
    <s v="-"/>
    <s v="."/>
    <s v="-"/>
  </r>
  <r>
    <x v="1"/>
    <x v="5"/>
    <x v="7"/>
    <n v="47"/>
    <x v="7"/>
    <x v="96"/>
    <n v="47"/>
    <s v="01"/>
    <n v="2503"/>
    <s v="4701"/>
    <x v="0"/>
    <x v="17"/>
    <m/>
    <m/>
    <s v="Terry"/>
    <m/>
    <n v="2025"/>
    <s v="[1/8/25] Missing cost from solomon islands. Honsol preparing LOAs for countries"/>
    <n v="170000"/>
    <s v="Cook Islands, Fiji, Niue, Samoa, Solomon Islands, Tonga, Tuvalu"/>
    <x v="1"/>
    <n v="693263.1"/>
    <m/>
    <m/>
    <m/>
    <x v="3"/>
    <n v="693263.1"/>
    <s v=""/>
    <s v=""/>
    <m/>
    <n v="13263.1"/>
    <n v="170000"/>
    <n v="170000"/>
    <n v="170000"/>
    <n v="170000"/>
    <m/>
    <m/>
    <m/>
    <m/>
    <m/>
    <m/>
    <n v="13263.1"/>
    <n v="13263.1"/>
    <m/>
    <n v="1.913140912879973E-2"/>
    <m/>
    <m/>
    <m/>
    <m/>
    <m/>
    <e v="#DIV/0!"/>
    <m/>
    <m/>
    <m/>
    <m/>
    <m/>
    <s v="3 Agreement"/>
    <s v="3 Agreement"/>
    <x v="20"/>
    <n v="0.4"/>
    <s v="Green"/>
    <s v="Green"/>
    <s v="Recruitment delays by beneficiary countries."/>
    <s v="Concept note drafted. Increased budget required baesd on confirmed local salary costs. Awaiting SC approval of increase before proceeding with contracting/LOA."/>
  </r>
  <r>
    <x v="4"/>
    <x v="6"/>
    <x v="16"/>
    <n v="71"/>
    <x v="16"/>
    <x v="97"/>
    <m/>
    <m/>
    <m/>
    <s v=""/>
    <x v="2"/>
    <x v="18"/>
    <m/>
    <m/>
    <m/>
    <m/>
    <m/>
    <m/>
    <m/>
    <m/>
    <x v="2"/>
    <n v="0"/>
    <s v="SOFF"/>
    <s v="??"/>
    <m/>
    <x v="4"/>
    <n v="0"/>
    <s v=""/>
    <s v=""/>
    <m/>
    <m/>
    <m/>
    <m/>
    <m/>
    <m/>
    <m/>
    <m/>
    <m/>
    <m/>
    <m/>
    <m/>
    <m/>
    <n v="0"/>
    <m/>
    <s v="-"/>
    <m/>
    <m/>
    <m/>
    <m/>
    <m/>
    <e v="#DIV/0!"/>
    <m/>
    <m/>
    <m/>
    <m/>
    <m/>
    <m/>
    <m/>
    <x v="11"/>
    <s v="-"/>
    <s v="-"/>
    <s v="-"/>
    <s v="."/>
    <s v="-"/>
  </r>
  <r>
    <x v="2"/>
    <x v="3"/>
    <x v="22"/>
    <n v="56"/>
    <x v="22"/>
    <x v="58"/>
    <n v="56"/>
    <s v="01"/>
    <m/>
    <s v="5601"/>
    <x v="1"/>
    <x v="2"/>
    <m/>
    <m/>
    <s v="Marica"/>
    <m/>
    <n v="2025"/>
    <s v="paused? delay?"/>
    <m/>
    <s v="-"/>
    <x v="1"/>
    <n v="116793.990434783"/>
    <m/>
    <m/>
    <m/>
    <x v="1"/>
    <n v="116793.990434783"/>
    <s v=""/>
    <m/>
    <m/>
    <n v="16793.990000000002"/>
    <n v="100000.000434783"/>
    <m/>
    <m/>
    <m/>
    <m/>
    <m/>
    <m/>
    <m/>
    <m/>
    <m/>
    <n v="16793.990000000002"/>
    <n v="16793.990000000002"/>
    <m/>
    <n v="0.14379155928727047"/>
    <m/>
    <m/>
    <m/>
    <m/>
    <m/>
    <e v="#DIV/0!"/>
    <m/>
    <m/>
    <m/>
    <m/>
    <m/>
    <s v="1 Concept"/>
    <s v="1 Concept"/>
    <x v="2"/>
    <n v="0.1"/>
    <s v="Green"/>
    <s v="Green"/>
    <s v="Cost brought forward from 2026 to 2025"/>
    <s v="-"/>
  </r>
  <r>
    <x v="0"/>
    <x v="0"/>
    <x v="6"/>
    <n v="13"/>
    <x v="6"/>
    <x v="98"/>
    <n v="13"/>
    <m/>
    <m/>
    <s v=""/>
    <x v="0"/>
    <x v="2"/>
    <m/>
    <m/>
    <s v="Ofa"/>
    <m/>
    <m/>
    <m/>
    <m/>
    <s v="All"/>
    <x v="1"/>
    <n v="75000"/>
    <m/>
    <m/>
    <m/>
    <x v="3"/>
    <n v="75000"/>
    <s v=""/>
    <s v=""/>
    <m/>
    <m/>
    <m/>
    <n v="75000"/>
    <m/>
    <m/>
    <m/>
    <m/>
    <m/>
    <m/>
    <m/>
    <m/>
    <m/>
    <n v="0"/>
    <m/>
    <n v="0"/>
    <m/>
    <m/>
    <m/>
    <m/>
    <m/>
    <e v="#DIV/0!"/>
    <m/>
    <m/>
    <m/>
    <m/>
    <m/>
    <s v="Not Started"/>
    <s v="Not Started"/>
    <x v="5"/>
    <n v="0"/>
    <s v="-"/>
    <s v="-"/>
    <s v="."/>
    <s v="-"/>
  </r>
  <r>
    <x v="0"/>
    <x v="0"/>
    <x v="6"/>
    <n v="13"/>
    <x v="6"/>
    <x v="99"/>
    <n v="13"/>
    <m/>
    <m/>
    <s v=""/>
    <x v="0"/>
    <x v="2"/>
    <m/>
    <m/>
    <s v="Ofa"/>
    <m/>
    <m/>
    <m/>
    <m/>
    <s v="All"/>
    <x v="1"/>
    <n v="0"/>
    <m/>
    <m/>
    <m/>
    <x v="3"/>
    <n v="0"/>
    <s v=""/>
    <s v=""/>
    <m/>
    <m/>
    <m/>
    <m/>
    <m/>
    <m/>
    <m/>
    <m/>
    <m/>
    <m/>
    <m/>
    <m/>
    <m/>
    <n v="0"/>
    <m/>
    <s v="-"/>
    <m/>
    <m/>
    <m/>
    <m/>
    <m/>
    <e v="#DIV/0!"/>
    <m/>
    <m/>
    <m/>
    <m/>
    <m/>
    <s v="Not Started"/>
    <s v="Not Started"/>
    <x v="5"/>
    <n v="0"/>
    <s v="-"/>
    <s v="-"/>
    <s v="."/>
    <s v="-"/>
  </r>
  <r>
    <x v="4"/>
    <x v="6"/>
    <x v="20"/>
    <n v="33"/>
    <x v="20"/>
    <x v="100"/>
    <n v="33"/>
    <m/>
    <m/>
    <s v=""/>
    <x v="3"/>
    <x v="13"/>
    <m/>
    <m/>
    <m/>
    <m/>
    <m/>
    <m/>
    <m/>
    <s v="All"/>
    <x v="1"/>
    <n v="0"/>
    <m/>
    <m/>
    <m/>
    <x v="3"/>
    <n v="0"/>
    <s v=""/>
    <s v=""/>
    <m/>
    <m/>
    <m/>
    <m/>
    <m/>
    <m/>
    <m/>
    <m/>
    <m/>
    <m/>
    <m/>
    <m/>
    <m/>
    <n v="0"/>
    <m/>
    <s v="-"/>
    <m/>
    <m/>
    <m/>
    <m/>
    <m/>
    <e v="#DIV/0!"/>
    <m/>
    <m/>
    <m/>
    <m/>
    <m/>
    <s v="Not Started"/>
    <s v="Not Started"/>
    <x v="5"/>
    <n v="0"/>
    <s v="-"/>
    <s v="-"/>
    <s v="."/>
    <s v="-"/>
  </r>
  <r>
    <x v="2"/>
    <x v="3"/>
    <x v="32"/>
    <n v="55"/>
    <x v="32"/>
    <x v="101"/>
    <n v="55"/>
    <m/>
    <m/>
    <s v=""/>
    <x v="1"/>
    <x v="2"/>
    <m/>
    <m/>
    <s v="Ofa"/>
    <m/>
    <m/>
    <m/>
    <m/>
    <s v="Cook Island, Solomon Islands, Kiribati"/>
    <x v="1"/>
    <n v="22530.699999999997"/>
    <m/>
    <m/>
    <m/>
    <x v="1"/>
    <n v="22530.699999999997"/>
    <s v=""/>
    <s v=""/>
    <m/>
    <n v="22530.699999999997"/>
    <m/>
    <m/>
    <m/>
    <m/>
    <m/>
    <m/>
    <m/>
    <m/>
    <m/>
    <m/>
    <n v="22530.699999999997"/>
    <n v="22530.699999999997"/>
    <m/>
    <n v="1"/>
    <m/>
    <m/>
    <m/>
    <m/>
    <m/>
    <e v="#DIV/0!"/>
    <m/>
    <m/>
    <m/>
    <m/>
    <m/>
    <s v="4 Implementation In Progress"/>
    <s v="4 Implementation In Progress"/>
    <x v="14"/>
    <n v="0.8"/>
    <s v="Green"/>
    <s v="Green"/>
    <s v="."/>
    <s v="Ten representatives from the Cook Island, Solomon and Kiribati National Meteorological Services and the National Disaster Managers attended Global System for Mobile (GSM) Association (GSMA)-Pacific Islands Telecommunications Associations (PITA) Workshop on leveraging Cell-Broadcasting for Disaster Preparedness, Response and Recovery. 28-1 Aug"/>
  </r>
  <r>
    <x v="0"/>
    <x v="0"/>
    <x v="6"/>
    <n v="13"/>
    <x v="6"/>
    <x v="102"/>
    <m/>
    <m/>
    <m/>
    <s v=""/>
    <x v="2"/>
    <x v="16"/>
    <m/>
    <m/>
    <m/>
    <m/>
    <m/>
    <m/>
    <m/>
    <m/>
    <x v="2"/>
    <n v="0"/>
    <m/>
    <m/>
    <m/>
    <x v="4"/>
    <n v="0"/>
    <s v=""/>
    <s v=""/>
    <m/>
    <m/>
    <m/>
    <m/>
    <m/>
    <m/>
    <m/>
    <m/>
    <m/>
    <m/>
    <m/>
    <m/>
    <m/>
    <n v="0"/>
    <m/>
    <s v="-"/>
    <m/>
    <m/>
    <m/>
    <m/>
    <m/>
    <e v="#DIV/0!"/>
    <m/>
    <m/>
    <m/>
    <m/>
    <m/>
    <m/>
    <m/>
    <x v="11"/>
    <s v="-"/>
    <s v="-"/>
    <s v="-"/>
    <m/>
    <s v="-"/>
  </r>
  <r>
    <x v="0"/>
    <x v="0"/>
    <x v="0"/>
    <n v="12"/>
    <x v="0"/>
    <x v="103"/>
    <m/>
    <m/>
    <m/>
    <s v=""/>
    <x v="2"/>
    <x v="16"/>
    <m/>
    <m/>
    <m/>
    <m/>
    <m/>
    <m/>
    <m/>
    <m/>
    <x v="2"/>
    <n v="0"/>
    <m/>
    <m/>
    <m/>
    <x v="4"/>
    <n v="0"/>
    <s v=""/>
    <s v=""/>
    <m/>
    <m/>
    <m/>
    <m/>
    <m/>
    <m/>
    <m/>
    <m/>
    <m/>
    <m/>
    <m/>
    <m/>
    <m/>
    <n v="0"/>
    <m/>
    <s v="-"/>
    <m/>
    <m/>
    <m/>
    <m/>
    <m/>
    <e v="#DIV/0!"/>
    <m/>
    <m/>
    <m/>
    <m/>
    <m/>
    <m/>
    <m/>
    <x v="11"/>
    <s v="-"/>
    <s v="-"/>
    <s v="-"/>
    <m/>
    <s v="-"/>
  </r>
  <r>
    <x v="0"/>
    <x v="0"/>
    <x v="24"/>
    <n v="14"/>
    <x v="24"/>
    <x v="104"/>
    <m/>
    <m/>
    <m/>
    <s v=""/>
    <x v="2"/>
    <x v="16"/>
    <m/>
    <m/>
    <m/>
    <m/>
    <m/>
    <m/>
    <m/>
    <m/>
    <x v="2"/>
    <n v="0"/>
    <m/>
    <m/>
    <m/>
    <x v="4"/>
    <n v="0"/>
    <s v=""/>
    <s v=""/>
    <m/>
    <m/>
    <m/>
    <m/>
    <m/>
    <m/>
    <m/>
    <m/>
    <m/>
    <m/>
    <m/>
    <m/>
    <m/>
    <n v="0"/>
    <m/>
    <s v="-"/>
    <m/>
    <m/>
    <m/>
    <m/>
    <m/>
    <e v="#DIV/0!"/>
    <m/>
    <m/>
    <m/>
    <m/>
    <m/>
    <m/>
    <m/>
    <x v="11"/>
    <s v="-"/>
    <s v="-"/>
    <s v="-"/>
    <m/>
    <s v="-"/>
  </r>
  <r>
    <x v="0"/>
    <x v="2"/>
    <x v="3"/>
    <n v="81"/>
    <x v="3"/>
    <x v="105"/>
    <m/>
    <m/>
    <m/>
    <s v=""/>
    <x v="2"/>
    <x v="16"/>
    <m/>
    <m/>
    <m/>
    <m/>
    <m/>
    <m/>
    <m/>
    <m/>
    <x v="2"/>
    <n v="0"/>
    <m/>
    <m/>
    <m/>
    <x v="4"/>
    <n v="0"/>
    <s v=""/>
    <s v=""/>
    <m/>
    <m/>
    <m/>
    <m/>
    <m/>
    <m/>
    <m/>
    <m/>
    <m/>
    <m/>
    <m/>
    <m/>
    <m/>
    <n v="0"/>
    <m/>
    <s v="-"/>
    <m/>
    <m/>
    <m/>
    <m/>
    <m/>
    <e v="#DIV/0!"/>
    <m/>
    <m/>
    <m/>
    <m/>
    <m/>
    <m/>
    <m/>
    <x v="11"/>
    <s v="-"/>
    <s v="-"/>
    <s v="-"/>
    <s v="."/>
    <s v="-"/>
  </r>
  <r>
    <x v="3"/>
    <x v="7"/>
    <x v="10"/>
    <n v="21"/>
    <x v="10"/>
    <x v="106"/>
    <n v="21"/>
    <m/>
    <m/>
    <s v=""/>
    <x v="0"/>
    <x v="2"/>
    <m/>
    <m/>
    <s v="Marica"/>
    <m/>
    <n v="2025"/>
    <s v="[1/8/25] Iinvestigate if extension of pooled fund consultant possible to do this work or World Bank"/>
    <m/>
    <s v="All"/>
    <x v="1"/>
    <n v="50000"/>
    <m/>
    <m/>
    <m/>
    <x v="1"/>
    <n v="50000"/>
    <s v=""/>
    <s v=""/>
    <m/>
    <m/>
    <n v="50000"/>
    <m/>
    <m/>
    <m/>
    <m/>
    <m/>
    <m/>
    <m/>
    <m/>
    <m/>
    <m/>
    <n v="0"/>
    <m/>
    <n v="0"/>
    <m/>
    <m/>
    <m/>
    <m/>
    <m/>
    <e v="#DIV/0!"/>
    <m/>
    <m/>
    <m/>
    <m/>
    <m/>
    <s v="Not Started"/>
    <s v="Not Started"/>
    <x v="5"/>
    <n v="0"/>
    <s v="-"/>
    <s v="-"/>
    <s v="Activity deferred to 2026, as awaiting FMS governance outcomes."/>
    <s v="Identifying suitable consultant to undertake this work. "/>
  </r>
  <r>
    <x v="1"/>
    <x v="1"/>
    <x v="2"/>
    <n v="41"/>
    <x v="2"/>
    <x v="107"/>
    <n v="41"/>
    <m/>
    <n v="2506"/>
    <s v=""/>
    <x v="0"/>
    <x v="2"/>
    <m/>
    <m/>
    <s v="Terry"/>
    <m/>
    <m/>
    <m/>
    <m/>
    <s v="All"/>
    <x v="1"/>
    <n v="50000"/>
    <s v="BoM"/>
    <n v="30000"/>
    <s v="Labour effort in-kind 6 months"/>
    <x v="3"/>
    <n v="20000"/>
    <s v=""/>
    <s v=""/>
    <m/>
    <m/>
    <n v="20000"/>
    <m/>
    <m/>
    <m/>
    <m/>
    <m/>
    <m/>
    <m/>
    <m/>
    <m/>
    <m/>
    <n v="0"/>
    <m/>
    <n v="0"/>
    <m/>
    <m/>
    <m/>
    <m/>
    <m/>
    <e v="#DIV/0!"/>
    <m/>
    <m/>
    <m/>
    <m/>
    <m/>
    <s v="Not Started"/>
    <s v="Not Started"/>
    <x v="5"/>
    <n v="0"/>
    <s v="-"/>
    <s v="-"/>
    <s v="."/>
    <s v="-"/>
  </r>
  <r>
    <x v="0"/>
    <x v="0"/>
    <x v="24"/>
    <n v="14"/>
    <x v="24"/>
    <x v="108"/>
    <m/>
    <m/>
    <m/>
    <s v=""/>
    <x v="2"/>
    <x v="5"/>
    <m/>
    <m/>
    <m/>
    <m/>
    <m/>
    <m/>
    <m/>
    <m/>
    <x v="0"/>
    <n v="619825"/>
    <s v="DFAT"/>
    <n v="619825"/>
    <s v="Labour effort &amp; travel funded for 3 years at present"/>
    <x v="4"/>
    <n v="0"/>
    <s v=""/>
    <s v=""/>
    <m/>
    <m/>
    <m/>
    <m/>
    <m/>
    <m/>
    <m/>
    <m/>
    <m/>
    <m/>
    <m/>
    <m/>
    <m/>
    <n v="0"/>
    <m/>
    <s v="-"/>
    <m/>
    <m/>
    <m/>
    <m/>
    <m/>
    <e v="#DIV/0!"/>
    <m/>
    <m/>
    <m/>
    <m/>
    <m/>
    <m/>
    <m/>
    <x v="21"/>
    <n v="0.25"/>
    <s v="-"/>
    <s v="-"/>
    <m/>
    <s v="-"/>
  </r>
  <r>
    <x v="3"/>
    <x v="7"/>
    <x v="10"/>
    <n v="21"/>
    <x v="10"/>
    <x v="109"/>
    <n v="21"/>
    <m/>
    <m/>
    <s v=""/>
    <x v="0"/>
    <x v="2"/>
    <m/>
    <m/>
    <s v="Terry"/>
    <m/>
    <m/>
    <m/>
    <n v="35000"/>
    <s v="All"/>
    <x v="1"/>
    <n v="35000"/>
    <m/>
    <m/>
    <m/>
    <x v="3"/>
    <n v="35000"/>
    <s v=""/>
    <s v=""/>
    <m/>
    <m/>
    <n v="35000"/>
    <m/>
    <m/>
    <m/>
    <m/>
    <m/>
    <m/>
    <m/>
    <m/>
    <m/>
    <m/>
    <n v="0"/>
    <m/>
    <n v="0"/>
    <m/>
    <m/>
    <m/>
    <m/>
    <m/>
    <e v="#DIV/0!"/>
    <m/>
    <m/>
    <m/>
    <m/>
    <m/>
    <s v="Not Started"/>
    <s v="Not Started"/>
    <x v="5"/>
    <n v="0"/>
    <s v="-"/>
    <s v="-"/>
    <s v="."/>
    <s v="Identified activity from PIETR panel RTC task team. Awaiting ToR finalisation and recruitment of WRP Training and Capacity Development advisor to progress. "/>
  </r>
  <r>
    <x v="2"/>
    <x v="3"/>
    <x v="32"/>
    <n v="55"/>
    <x v="32"/>
    <x v="110"/>
    <n v="55"/>
    <m/>
    <m/>
    <s v=""/>
    <x v="0"/>
    <x v="2"/>
    <m/>
    <m/>
    <s v="Marica"/>
    <m/>
    <m/>
    <m/>
    <m/>
    <s v="Tokelau"/>
    <x v="2"/>
    <n v="0"/>
    <m/>
    <m/>
    <m/>
    <x v="4"/>
    <n v="0"/>
    <s v=""/>
    <s v=""/>
    <m/>
    <m/>
    <m/>
    <m/>
    <m/>
    <m/>
    <m/>
    <m/>
    <m/>
    <m/>
    <m/>
    <m/>
    <m/>
    <n v="0"/>
    <m/>
    <s v="-"/>
    <m/>
    <m/>
    <m/>
    <m/>
    <m/>
    <e v="#DIV/0!"/>
    <m/>
    <m/>
    <m/>
    <m/>
    <m/>
    <m/>
    <m/>
    <x v="11"/>
    <s v="-"/>
    <s v="-"/>
    <s v="-"/>
    <s v="."/>
    <m/>
  </r>
  <r>
    <x v="0"/>
    <x v="2"/>
    <x v="33"/>
    <n v="82"/>
    <x v="33"/>
    <x v="111"/>
    <n v="82"/>
    <m/>
    <m/>
    <s v=""/>
    <x v="4"/>
    <x v="19"/>
    <m/>
    <m/>
    <m/>
    <m/>
    <m/>
    <m/>
    <m/>
    <m/>
    <x v="2"/>
    <n v="0"/>
    <m/>
    <m/>
    <m/>
    <x v="4"/>
    <n v="0"/>
    <s v=""/>
    <s v=""/>
    <m/>
    <m/>
    <m/>
    <m/>
    <m/>
    <m/>
    <m/>
    <m/>
    <m/>
    <m/>
    <m/>
    <m/>
    <m/>
    <n v="0"/>
    <m/>
    <s v="-"/>
    <m/>
    <m/>
    <m/>
    <m/>
    <m/>
    <e v="#DIV/0!"/>
    <m/>
    <m/>
    <m/>
    <m/>
    <m/>
    <m/>
    <m/>
    <x v="19"/>
    <m/>
    <m/>
    <m/>
    <m/>
    <m/>
  </r>
  <r>
    <x v="4"/>
    <x v="6"/>
    <x v="34"/>
    <n v="74"/>
    <x v="34"/>
    <x v="112"/>
    <n v="74"/>
    <m/>
    <m/>
    <s v=""/>
    <x v="4"/>
    <x v="19"/>
    <m/>
    <m/>
    <m/>
    <m/>
    <m/>
    <m/>
    <m/>
    <m/>
    <x v="2"/>
    <n v="0"/>
    <m/>
    <m/>
    <m/>
    <x v="4"/>
    <n v="0"/>
    <s v=""/>
    <s v=""/>
    <m/>
    <m/>
    <m/>
    <m/>
    <m/>
    <m/>
    <m/>
    <m/>
    <m/>
    <m/>
    <m/>
    <m/>
    <m/>
    <n v="0"/>
    <m/>
    <s v="-"/>
    <m/>
    <m/>
    <m/>
    <m/>
    <m/>
    <e v="#DIV/0!"/>
    <m/>
    <m/>
    <m/>
    <m/>
    <m/>
    <m/>
    <m/>
    <x v="19"/>
    <m/>
    <m/>
    <m/>
    <m/>
    <m/>
  </r>
  <r>
    <x v="0"/>
    <x v="0"/>
    <x v="35"/>
    <n v="16"/>
    <x v="35"/>
    <x v="113"/>
    <n v="16"/>
    <m/>
    <m/>
    <s v=""/>
    <x v="4"/>
    <x v="19"/>
    <m/>
    <m/>
    <m/>
    <m/>
    <m/>
    <m/>
    <m/>
    <m/>
    <x v="2"/>
    <n v="0"/>
    <m/>
    <m/>
    <m/>
    <x v="4"/>
    <n v="0"/>
    <s v=""/>
    <s v=""/>
    <m/>
    <m/>
    <m/>
    <m/>
    <m/>
    <m/>
    <m/>
    <m/>
    <m/>
    <m/>
    <m/>
    <m/>
    <m/>
    <n v="0"/>
    <m/>
    <s v="-"/>
    <m/>
    <m/>
    <m/>
    <m/>
    <m/>
    <e v="#DIV/0!"/>
    <m/>
    <m/>
    <m/>
    <m/>
    <m/>
    <m/>
    <m/>
    <x v="19"/>
    <m/>
    <m/>
    <m/>
    <m/>
    <m/>
  </r>
  <r>
    <x v="1"/>
    <x v="5"/>
    <x v="17"/>
    <n v="42"/>
    <x v="17"/>
    <x v="114"/>
    <n v="42"/>
    <m/>
    <m/>
    <s v=""/>
    <x v="4"/>
    <x v="19"/>
    <m/>
    <m/>
    <m/>
    <m/>
    <m/>
    <m/>
    <m/>
    <m/>
    <x v="2"/>
    <n v="0"/>
    <m/>
    <m/>
    <m/>
    <x v="4"/>
    <n v="0"/>
    <s v=""/>
    <s v=""/>
    <m/>
    <m/>
    <m/>
    <m/>
    <m/>
    <m/>
    <m/>
    <m/>
    <m/>
    <m/>
    <m/>
    <m/>
    <m/>
    <n v="0"/>
    <m/>
    <s v="-"/>
    <m/>
    <m/>
    <m/>
    <m/>
    <m/>
    <e v="#DIV/0!"/>
    <m/>
    <m/>
    <m/>
    <m/>
    <m/>
    <m/>
    <m/>
    <x v="19"/>
    <m/>
    <m/>
    <m/>
    <m/>
    <m/>
  </r>
  <r>
    <x v="2"/>
    <x v="3"/>
    <x v="32"/>
    <n v="55"/>
    <x v="32"/>
    <x v="115"/>
    <n v="55"/>
    <m/>
    <m/>
    <s v=""/>
    <x v="4"/>
    <x v="19"/>
    <m/>
    <m/>
    <m/>
    <m/>
    <m/>
    <m/>
    <m/>
    <m/>
    <x v="2"/>
    <n v="0"/>
    <m/>
    <m/>
    <m/>
    <x v="4"/>
    <n v="0"/>
    <s v=""/>
    <s v=""/>
    <m/>
    <m/>
    <m/>
    <m/>
    <m/>
    <m/>
    <m/>
    <m/>
    <m/>
    <m/>
    <m/>
    <m/>
    <m/>
    <n v="0"/>
    <m/>
    <s v="-"/>
    <m/>
    <m/>
    <m/>
    <m/>
    <m/>
    <e v="#DIV/0!"/>
    <m/>
    <m/>
    <m/>
    <m/>
    <m/>
    <m/>
    <m/>
    <x v="19"/>
    <m/>
    <m/>
    <m/>
    <m/>
    <m/>
  </r>
  <r>
    <x v="6"/>
    <x v="12"/>
    <x v="36"/>
    <e v="#N/A"/>
    <x v="36"/>
    <x v="116"/>
    <e v="#N/A"/>
    <m/>
    <m/>
    <s v=""/>
    <x v="4"/>
    <x v="19"/>
    <m/>
    <m/>
    <m/>
    <m/>
    <m/>
    <m/>
    <m/>
    <m/>
    <x v="2"/>
    <n v="0"/>
    <m/>
    <m/>
    <m/>
    <x v="4"/>
    <n v="0"/>
    <s v=""/>
    <s v=""/>
    <m/>
    <m/>
    <m/>
    <m/>
    <m/>
    <m/>
    <m/>
    <m/>
    <m/>
    <m/>
    <m/>
    <m/>
    <m/>
    <n v="0"/>
    <m/>
    <s v="-"/>
    <m/>
    <m/>
    <m/>
    <m/>
    <m/>
    <e v="#DIV/0!"/>
    <m/>
    <m/>
    <m/>
    <m/>
    <m/>
    <m/>
    <m/>
    <x v="19"/>
    <m/>
    <m/>
    <m/>
    <m/>
    <m/>
  </r>
  <r>
    <x v="6"/>
    <x v="12"/>
    <x v="36"/>
    <e v="#N/A"/>
    <x v="36"/>
    <x v="116"/>
    <e v="#N/A"/>
    <m/>
    <m/>
    <s v=""/>
    <x v="4"/>
    <x v="19"/>
    <m/>
    <m/>
    <m/>
    <m/>
    <m/>
    <m/>
    <m/>
    <m/>
    <x v="2"/>
    <n v="0"/>
    <m/>
    <m/>
    <m/>
    <x v="4"/>
    <n v="0"/>
    <s v=""/>
    <s v=""/>
    <m/>
    <m/>
    <m/>
    <m/>
    <m/>
    <m/>
    <m/>
    <m/>
    <m/>
    <m/>
    <m/>
    <m/>
    <m/>
    <n v="0"/>
    <m/>
    <s v="-"/>
    <m/>
    <m/>
    <m/>
    <m/>
    <m/>
    <e v="#DIV/0!"/>
    <m/>
    <m/>
    <m/>
    <m/>
    <m/>
    <m/>
    <m/>
    <x v="19"/>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unding Allocation" cacheId="1" applyNumberFormats="0" applyBorderFormats="0" applyFontFormats="0" applyPatternFormats="0" applyAlignmentFormats="0" applyWidthHeightFormats="1" dataCaption="Year" grandTotalCaption="Sub Total" updatedVersion="8" minRefreshableVersion="3" colGrandTotals="0" itemPrintTitles="1" createdVersion="8" indent="0" compact="0" compactData="0" multipleFieldFilters="0" rowHeaderCaption="KRA">
  <location ref="B5:O112" firstHeaderRow="1" firstDataRow="2" firstDataCol="7" rowPageCount="1" colPageCount="1"/>
  <pivotFields count="68">
    <pivotField axis="axisRow" compact="0" outline="0" showAll="0" defaultSubtotal="0">
      <items count="7">
        <item x="0"/>
        <item x="3"/>
        <item x="4"/>
        <item x="1"/>
        <item x="2"/>
        <item x="5"/>
        <item x="6"/>
      </items>
    </pivotField>
    <pivotField compact="0" outline="0" showAll="0" defaultSubtotal="0">
      <items count="14">
        <item sd="0" m="1" x="13"/>
        <item x="4"/>
        <item x="9"/>
        <item x="7"/>
        <item x="5"/>
        <item x="12"/>
        <item x="0"/>
        <item x="1"/>
        <item x="2"/>
        <item x="3"/>
        <item x="6"/>
        <item x="8"/>
        <item x="11"/>
        <item x="10"/>
      </items>
    </pivotField>
    <pivotField axis="axisRow" compact="0" outline="0" subtotalTop="0" showAll="0" defaultSubtotal="0">
      <items count="37">
        <item x="23"/>
        <item x="1"/>
        <item x="0"/>
        <item x="6"/>
        <item x="24"/>
        <item x="31"/>
        <item x="3"/>
        <item x="10"/>
        <item x="11"/>
        <item x="19"/>
        <item x="14"/>
        <item x="13"/>
        <item x="5"/>
        <item x="25"/>
        <item x="15"/>
        <item x="8"/>
        <item x="20"/>
        <item x="16"/>
        <item x="9"/>
        <item x="29"/>
        <item x="12"/>
        <item x="2"/>
        <item x="17"/>
        <item x="21"/>
        <item x="28"/>
        <item x="7"/>
        <item x="27"/>
        <item x="30"/>
        <item x="4"/>
        <item x="32"/>
        <item x="22"/>
        <item x="26"/>
        <item x="36"/>
        <item x="18"/>
        <item x="33"/>
        <item x="34"/>
        <item x="35"/>
      </items>
    </pivotField>
    <pivotField compact="0" outline="0" subtotalTop="0" showAll="0" defaultSubtotal="0"/>
    <pivotField axis="axisRow" compact="0" outline="0" showAll="0" sortType="ascending" defaultSubtotal="0">
      <items count="119">
        <item m="1" x="57"/>
        <item m="1" x="93"/>
        <item m="1" x="69"/>
        <item m="1" x="65"/>
        <item m="1" x="100"/>
        <item m="1" x="110"/>
        <item m="1" x="50"/>
        <item m="1" x="112"/>
        <item m="1" x="66"/>
        <item sd="0" m="1" x="72"/>
        <item m="1" x="117"/>
        <item m="1" x="81"/>
        <item m="1" x="58"/>
        <item m="1" x="82"/>
        <item m="1" x="64"/>
        <item m="1" x="108"/>
        <item m="1" x="74"/>
        <item m="1" x="70"/>
        <item m="1" x="62"/>
        <item m="1" x="86"/>
        <item m="1" x="76"/>
        <item m="1" x="91"/>
        <item m="1" x="61"/>
        <item m="1" x="102"/>
        <item m="1" x="80"/>
        <item m="1" x="99"/>
        <item m="1" x="118"/>
        <item m="1" x="103"/>
        <item m="1" x="78"/>
        <item m="1" x="56"/>
        <item m="1" x="52"/>
        <item m="1" x="59"/>
        <item m="1" x="94"/>
        <item m="1" x="60"/>
        <item m="1" x="113"/>
        <item m="1" x="67"/>
        <item m="1" x="88"/>
        <item m="1" x="54"/>
        <item m="1" x="89"/>
        <item m="1" x="87"/>
        <item m="1" x="107"/>
        <item m="1" x="55"/>
        <item m="1" x="96"/>
        <item m="1" x="73"/>
        <item m="1" x="116"/>
        <item m="1" x="51"/>
        <item m="1" x="85"/>
        <item m="1" x="97"/>
        <item x="23"/>
        <item x="33"/>
        <item m="1" x="98"/>
        <item m="1" x="92"/>
        <item m="1" x="43"/>
        <item m="1" x="95"/>
        <item x="2"/>
        <item m="1" x="49"/>
        <item x="32"/>
        <item x="13"/>
        <item x="12"/>
        <item x="10"/>
        <item m="1" x="111"/>
        <item m="1" x="90"/>
        <item x="1"/>
        <item x="9"/>
        <item m="1" x="114"/>
        <item m="1" x="79"/>
        <item m="1" x="68"/>
        <item m="1" x="53"/>
        <item m="1" x="42"/>
        <item x="3"/>
        <item m="1" x="105"/>
        <item m="1" x="46"/>
        <item x="8"/>
        <item x="4"/>
        <item x="22"/>
        <item m="1" x="44"/>
        <item m="1" x="63"/>
        <item x="6"/>
        <item x="35"/>
        <item m="1" x="75"/>
        <item x="0"/>
        <item m="1" x="45"/>
        <item x="27"/>
        <item m="1" x="71"/>
        <item m="1" x="39"/>
        <item x="24"/>
        <item m="1" x="38"/>
        <item x="30"/>
        <item m="1" x="84"/>
        <item m="1" x="47"/>
        <item x="7"/>
        <item x="25"/>
        <item x="26"/>
        <item x="20"/>
        <item m="1" x="109"/>
        <item x="16"/>
        <item x="29"/>
        <item x="34"/>
        <item x="5"/>
        <item m="1" x="48"/>
        <item m="1" x="104"/>
        <item m="1" x="101"/>
        <item x="17"/>
        <item x="21"/>
        <item x="28"/>
        <item m="1" x="37"/>
        <item x="18"/>
        <item x="31"/>
        <item m="1" x="40"/>
        <item x="11"/>
        <item m="1" x="115"/>
        <item x="14"/>
        <item x="19"/>
        <item m="1" x="83"/>
        <item m="1" x="106"/>
        <item x="15"/>
        <item m="1" x="41"/>
        <item m="1" x="77"/>
        <item x="36"/>
      </items>
    </pivotField>
    <pivotField axis="axisRow" compact="0" outline="0" showAll="0" defaultSubtotal="0">
      <items count="226">
        <item x="21"/>
        <item x="32"/>
        <item x="33"/>
        <item m="1" x="193"/>
        <item m="1" x="160"/>
        <item x="13"/>
        <item m="1" x="124"/>
        <item m="1" x="162"/>
        <item x="57"/>
        <item x="56"/>
        <item x="89"/>
        <item m="1" x="189"/>
        <item m="1" x="169"/>
        <item m="1" x="188"/>
        <item m="1" x="186"/>
        <item m="1" x="170"/>
        <item x="22"/>
        <item m="1" x="187"/>
        <item x="40"/>
        <item m="1" x="215"/>
        <item m="1" x="219"/>
        <item n="Hosting of WRP Steering Group and Liaison Platform" x="14"/>
        <item m="1" x="207"/>
        <item m="1" x="141"/>
        <item m="1" x="209"/>
        <item m="1" x="198"/>
        <item m="1" x="223"/>
        <item m="1" x="183"/>
        <item sd="0" x="6"/>
        <item x="23"/>
        <item x="28"/>
        <item n="MERL and Sustainability Frameworks" x="17"/>
        <item m="1" x="199"/>
        <item m="1" x="206"/>
        <item x="71"/>
        <item m="1" x="125"/>
        <item n="Operational budget for mainstreaming GEDSI into WRP implementation" m="1" x="118"/>
        <item m="1" x="154"/>
        <item x="58"/>
        <item m="1" x="131"/>
        <item x="20"/>
        <item m="1" x="203"/>
        <item m="1" x="202"/>
        <item m="1" x="176"/>
        <item x="34"/>
        <item x="10"/>
        <item m="1" x="195"/>
        <item x="82"/>
        <item m="1" x="224"/>
        <item x="26"/>
        <item x="2"/>
        <item m="1" x="210"/>
        <item m="1" x="171"/>
        <item m="1" x="126"/>
        <item m="1" x="139"/>
        <item x="37"/>
        <item m="1" x="212"/>
        <item m="1" x="182"/>
        <item m="1" x="178"/>
        <item m="1" x="218"/>
        <item x="46"/>
        <item x="35"/>
        <item m="1" x="173"/>
        <item m="1" x="220"/>
        <item x="5"/>
        <item m="1" x="211"/>
        <item m="1" x="184"/>
        <item x="116"/>
        <item m="1" x="165"/>
        <item m="1" x="213"/>
        <item m="1" x="164"/>
        <item m="1" x="196"/>
        <item m="1" x="185"/>
        <item m="1" x="167"/>
        <item m="1" x="200"/>
        <item m="1" x="222"/>
        <item m="1" x="179"/>
        <item x="25"/>
        <item m="1" x="166"/>
        <item m="1" x="175"/>
        <item x="19"/>
        <item m="1" x="194"/>
        <item x="48"/>
        <item x="49"/>
        <item m="1" x="163"/>
        <item m="1" x="216"/>
        <item m="1" x="190"/>
        <item m="1" x="217"/>
        <item m="1" x="168"/>
        <item x="9"/>
        <item m="1" x="122"/>
        <item m="1" x="192"/>
        <item m="1" x="135"/>
        <item m="1" x="205"/>
        <item x="38"/>
        <item x="39"/>
        <item m="1" x="180"/>
        <item x="24"/>
        <item x="42"/>
        <item x="47"/>
        <item sd="0" x="50"/>
        <item m="1" x="225"/>
        <item m="1" x="152"/>
        <item x="96"/>
        <item m="1" x="177"/>
        <item m="1" x="119"/>
        <item x="78"/>
        <item x="79"/>
        <item m="1" x="159"/>
        <item m="1" x="161"/>
        <item m="1" x="153"/>
        <item x="15"/>
        <item m="1" x="214"/>
        <item m="1" x="172"/>
        <item m="1" x="204"/>
        <item x="83"/>
        <item x="84"/>
        <item x="85"/>
        <item m="1" x="127"/>
        <item x="87"/>
        <item x="88"/>
        <item m="1" x="132"/>
        <item x="90"/>
        <item x="91"/>
        <item x="3"/>
        <item m="1" x="201"/>
        <item m="1" x="174"/>
        <item x="41"/>
        <item x="92"/>
        <item x="53"/>
        <item m="1" x="181"/>
        <item x="94"/>
        <item x="97"/>
        <item m="1" x="197"/>
        <item m="1" x="208"/>
        <item x="8"/>
        <item m="1" x="133"/>
        <item m="1" x="140"/>
        <item m="1" x="191"/>
        <item m="1" x="156"/>
        <item m="1" x="155"/>
        <item x="60"/>
        <item x="61"/>
        <item x="62"/>
        <item x="63"/>
        <item m="1" x="143"/>
        <item x="65"/>
        <item x="66"/>
        <item m="1" x="221"/>
        <item x="68"/>
        <item x="69"/>
        <item x="70"/>
        <item m="1" x="142"/>
        <item x="73"/>
        <item x="74"/>
        <item x="75"/>
        <item m="1" x="137"/>
        <item m="1" x="151"/>
        <item x="67"/>
        <item x="98"/>
        <item x="99"/>
        <item x="100"/>
        <item m="1" x="150"/>
        <item x="101"/>
        <item x="102"/>
        <item x="103"/>
        <item x="104"/>
        <item x="105"/>
        <item x="81"/>
        <item x="27"/>
        <item x="93"/>
        <item x="95"/>
        <item x="106"/>
        <item m="1" x="149"/>
        <item x="107"/>
        <item x="108"/>
        <item m="1" x="144"/>
        <item m="1" x="145"/>
        <item m="1" x="146"/>
        <item m="1" x="147"/>
        <item m="1" x="148"/>
        <item m="1" x="158"/>
        <item m="1" x="157"/>
        <item m="1" x="121"/>
        <item x="11"/>
        <item x="55"/>
        <item x="80"/>
        <item m="1" x="129"/>
        <item m="1" x="120"/>
        <item m="1" x="136"/>
        <item x="109"/>
        <item x="64"/>
        <item x="72"/>
        <item m="1" x="138"/>
        <item m="1" x="123"/>
        <item m="1" x="134"/>
        <item x="1"/>
        <item x="29"/>
        <item x="76"/>
        <item x="16"/>
        <item x="12"/>
        <item m="1" x="130"/>
        <item x="59"/>
        <item m="1" x="128"/>
        <item x="30"/>
        <item x="51"/>
        <item x="0"/>
        <item x="43"/>
        <item x="44"/>
        <item x="31"/>
        <item x="54"/>
        <item x="45"/>
        <item x="7"/>
        <item x="36"/>
        <item x="18"/>
        <item x="52"/>
        <item n="Operational budget for mainstreaming GEDSI into WRP implementation2" x="4"/>
        <item x="77"/>
        <item x="86"/>
        <item x="110"/>
        <item m="1" x="117"/>
        <item x="111"/>
        <item x="112"/>
        <item x="113"/>
        <item x="114"/>
        <item x="115"/>
      </items>
    </pivotField>
    <pivotField compact="0" outline="0" subtotalTop="0" showAll="0" defaultSubtotal="0"/>
    <pivotField compact="0" outline="0" showAll="0" defaultSubtotal="0"/>
    <pivotField compact="0" outline="0" showAll="0" defaultSubtotal="0"/>
    <pivotField compact="0" outline="0" subtotalTop="0" showAll="0" defaultSubtotal="0"/>
    <pivotField axis="axisPage" compact="0" outline="0" multipleItemSelectionAllowed="1" showAll="0" defaultSubtotal="0">
      <items count="9">
        <item m="1" x="5"/>
        <item m="1" x="6"/>
        <item m="1" x="7"/>
        <item m="1" x="8"/>
        <item x="0"/>
        <item x="3"/>
        <item x="4"/>
        <item h="1" x="2"/>
        <item x="1"/>
      </items>
    </pivotField>
    <pivotField axis="axisRow" compact="0" outline="0" subtotalTop="0" showAll="0" defaultSubtotal="0">
      <items count="25">
        <item x="10"/>
        <item x="5"/>
        <item x="3"/>
        <item m="1" x="23"/>
        <item x="17"/>
        <item x="16"/>
        <item x="1"/>
        <item x="9"/>
        <item m="1" x="22"/>
        <item x="15"/>
        <item x="0"/>
        <item x="18"/>
        <item x="13"/>
        <item m="1" x="24"/>
        <item x="14"/>
        <item x="8"/>
        <item m="1" x="21"/>
        <item x="2"/>
        <item x="19"/>
        <item x="6"/>
        <item x="11"/>
        <item m="1" x="20"/>
        <item x="7"/>
        <item x="12"/>
        <item x="4"/>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howAll="0" defaultSubtotal="0"/>
    <pivotField axis="axisRow" compact="0" outline="0" subtotalTop="0" showAll="0" defaultSubtotal="0">
      <items count="3">
        <item x="0"/>
        <item x="1"/>
        <item x="2"/>
      </items>
    </pivotField>
    <pivotField compact="0" outline="0" showAll="0" defaultSubtotal="0"/>
    <pivotField compact="0" outline="0" showAll="0" defaultSubtotal="0"/>
    <pivotField compact="0" outline="0" showAll="0" defaultSubtotal="0"/>
    <pivotField compact="0" outline="0" subtotalTop="0" showAll="0" defaultSubtotal="0"/>
    <pivotField axis="axisRow" compact="0" outline="0" multipleItemSelectionAllowed="1" showAll="0" defaultSubtotal="0">
      <items count="13">
        <item x="5"/>
        <item x="3"/>
        <item m="1" x="11"/>
        <item x="2"/>
        <item x="4"/>
        <item m="1" x="12"/>
        <item x="8"/>
        <item x="7"/>
        <item m="1" x="9"/>
        <item x="6"/>
        <item m="1" x="10"/>
        <item x="0"/>
        <item x="1"/>
      </items>
    </pivotField>
    <pivotField dataField="1" compact="0" outline="0" showAll="0" defaultSubtotal="0"/>
    <pivotField compact="0" outline="0" subtotalTop="0" showAll="0" defaultSubtotal="0"/>
    <pivotField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ubtotalTop="0" showAll="0" defaultSubtotal="0">
      <items count="30">
        <item x="17"/>
        <item x="9"/>
        <item m="1" x="27"/>
        <item x="15"/>
        <item x="2"/>
        <item x="8"/>
        <item x="21"/>
        <item x="6"/>
        <item m="1" x="29"/>
        <item x="20"/>
        <item x="13"/>
        <item x="4"/>
        <item x="14"/>
        <item m="1" x="28"/>
        <item x="12"/>
        <item x="3"/>
        <item x="19"/>
        <item x="0"/>
        <item m="1" x="26"/>
        <item x="16"/>
        <item x="5"/>
        <item x="10"/>
        <item x="18"/>
        <item x="11"/>
        <item m="1" x="25"/>
        <item x="7"/>
        <item m="1" x="24"/>
        <item m="1" x="23"/>
        <item x="1"/>
        <item m="1" x="22"/>
      </items>
    </pivotField>
    <pivotField compact="0" outline="0" subtotalTop="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dragToRow="0" dragToCol="0" dragToPage="0" showAll="0" defaultSubtotal="0"/>
    <pivotField compact="0" outline="0" dragToRow="0" dragToCol="0" dragToPage="0" showAll="0" defaultSubtotal="0"/>
    <pivotField compact="0" outline="0" subtotalTop="0" dragToRow="0" dragToCol="0" dragToPage="0" showAll="0" defaultSubtotal="0"/>
    <pivotField compact="0" outline="0" subtotalTop="0" dragToRow="0" dragToCol="0" dragToPage="0" showAll="0" defaultSubtotal="0"/>
  </pivotFields>
  <rowFields count="7">
    <field x="0"/>
    <field x="2"/>
    <field x="4"/>
    <field x="5"/>
    <field x="25"/>
    <field x="11"/>
    <field x="20"/>
  </rowFields>
  <rowItems count="106">
    <i>
      <x/>
      <x v="1"/>
      <x v="62"/>
      <x v="5"/>
      <x v="12"/>
      <x v="17"/>
      <x v="1"/>
    </i>
    <i r="3">
      <x v="49"/>
      <x/>
      <x v="17"/>
      <x/>
    </i>
    <i r="3">
      <x v="50"/>
      <x v="12"/>
      <x v="17"/>
      <x v="1"/>
    </i>
    <i r="3">
      <x v="106"/>
      <x v="1"/>
      <x v="17"/>
      <x v="1"/>
    </i>
    <i r="3">
      <x v="107"/>
      <x v="1"/>
      <x v="17"/>
      <x v="1"/>
    </i>
    <i r="3">
      <x v="186"/>
      <x v="1"/>
      <x v="17"/>
      <x v="1"/>
    </i>
    <i r="3">
      <x v="217"/>
      <x v="1"/>
      <x v="17"/>
      <x v="1"/>
    </i>
    <i r="1">
      <x v="2"/>
      <x v="80"/>
      <x v="21"/>
      <x v="9"/>
      <x v="17"/>
      <x v="1"/>
    </i>
    <i r="4">
      <x v="12"/>
      <x v="17"/>
      <x v="1"/>
    </i>
    <i r="3">
      <x v="168"/>
      <x v="9"/>
      <x v="17"/>
      <x v="1"/>
    </i>
    <i r="3">
      <x v="196"/>
      <x v="11"/>
      <x v="6"/>
      <x/>
    </i>
    <i r="3">
      <x v="200"/>
      <x v="9"/>
      <x v="17"/>
      <x v="1"/>
    </i>
    <i r="4">
      <x v="12"/>
      <x v="17"/>
      <x v="1"/>
    </i>
    <i r="3">
      <x v="206"/>
      <x v="11"/>
      <x v="10"/>
      <x/>
    </i>
    <i r="3">
      <x v="213"/>
      <x v="3"/>
      <x v="17"/>
      <x v="1"/>
    </i>
    <i r="3">
      <x v="214"/>
      <x v="12"/>
      <x v="17"/>
      <x v="1"/>
    </i>
    <i r="1">
      <x v="3"/>
      <x v="77"/>
      <x v="31"/>
      <x v="11"/>
      <x v="19"/>
      <x/>
    </i>
    <i r="3">
      <x v="45"/>
      <x v="12"/>
      <x v="17"/>
      <x v="1"/>
    </i>
    <i r="3">
      <x v="159"/>
      <x v="1"/>
      <x v="17"/>
      <x v="1"/>
    </i>
    <i r="3">
      <x v="160"/>
      <x v="1"/>
      <x v="17"/>
      <x v="1"/>
    </i>
    <i r="1">
      <x v="4"/>
      <x v="85"/>
      <x v="141"/>
      <x v="9"/>
      <x v="17"/>
      <x v="1"/>
    </i>
    <i r="3">
      <x v="143"/>
      <x v="9"/>
      <x v="17"/>
      <x v="1"/>
    </i>
    <i r="3">
      <x v="144"/>
      <x v="9"/>
      <x v="17"/>
      <x v="1"/>
    </i>
    <i r="3">
      <x v="146"/>
      <x v="9"/>
      <x v="17"/>
      <x v="1"/>
    </i>
    <i r="3">
      <x v="150"/>
      <x v="1"/>
      <x v="17"/>
      <x v="1"/>
    </i>
    <i r="3">
      <x v="151"/>
      <x v="1"/>
      <x v="17"/>
      <x v="1"/>
    </i>
    <i r="3">
      <x v="153"/>
      <x v="1"/>
      <x v="17"/>
      <x v="1"/>
    </i>
    <i r="3">
      <x v="154"/>
      <x v="1"/>
      <x v="17"/>
      <x v="1"/>
    </i>
    <i r="3">
      <x v="155"/>
      <x v="1"/>
      <x v="17"/>
      <x v="1"/>
    </i>
    <i r="3">
      <x v="192"/>
      <x v="1"/>
      <x v="17"/>
      <x v="1"/>
    </i>
    <i r="3">
      <x v="198"/>
      <x v="1"/>
      <x v="17"/>
      <x v="1"/>
    </i>
    <i r="1">
      <x v="5"/>
      <x v="107"/>
      <x v="171"/>
      <x v="1"/>
      <x v="17"/>
      <x v="1"/>
    </i>
    <i r="1">
      <x v="6"/>
      <x v="69"/>
      <x v="191"/>
      <x v="6"/>
      <x v="17"/>
      <x/>
    </i>
    <i r="3">
      <x v="216"/>
      <x v="1"/>
      <x v="17"/>
      <x v="1"/>
    </i>
    <i r="4">
      <x v="3"/>
      <x v="17"/>
      <x v="1"/>
    </i>
    <i r="1">
      <x v="34"/>
      <x v="49"/>
      <x v="221"/>
      <x v="4"/>
      <x v="18"/>
      <x v="2"/>
    </i>
    <i r="1">
      <x v="36"/>
      <x v="78"/>
      <x v="223"/>
      <x v="4"/>
      <x v="18"/>
      <x v="2"/>
    </i>
    <i>
      <x v="1"/>
      <x v="7"/>
      <x v="59"/>
      <x v="97"/>
      <x v="12"/>
      <x v="17"/>
      <x v="1"/>
    </i>
    <i r="3">
      <x v="98"/>
      <x/>
      <x/>
      <x/>
    </i>
    <i r="3">
      <x v="172"/>
      <x v="12"/>
      <x v="17"/>
      <x v="1"/>
    </i>
    <i r="3">
      <x v="190"/>
      <x v="1"/>
      <x v="17"/>
      <x v="1"/>
    </i>
    <i r="1">
      <x v="8"/>
      <x v="109"/>
      <x v="77"/>
      <x v="11"/>
      <x v="10"/>
      <x/>
    </i>
    <i r="3">
      <x v="82"/>
      <x v="1"/>
      <x v="1"/>
      <x v="1"/>
    </i>
    <i r="3">
      <x v="99"/>
      <x v="1"/>
      <x v="1"/>
      <x v="1"/>
    </i>
    <i r="3">
      <x v="100"/>
    </i>
    <i r="1">
      <x v="9"/>
      <x v="112"/>
      <x v="83"/>
      <x v="1"/>
      <x v="20"/>
      <x v="1"/>
    </i>
    <i r="1">
      <x v="10"/>
      <x v="111"/>
      <x v="197"/>
      <x v="1"/>
      <x v="17"/>
      <x v="1"/>
    </i>
    <i r="4">
      <x v="12"/>
      <x v="17"/>
      <x v="1"/>
    </i>
    <i r="1">
      <x v="11"/>
      <x v="57"/>
      <x v="30"/>
      <x v="12"/>
      <x v="17"/>
      <x v="1"/>
    </i>
    <i r="1">
      <x v="12"/>
      <x v="98"/>
      <x v="28"/>
    </i>
    <i r="3">
      <x v="204"/>
      <x v="12"/>
      <x v="17"/>
      <x v="1"/>
    </i>
    <i r="1">
      <x v="13"/>
      <x v="91"/>
      <x v="147"/>
      <x v="3"/>
      <x v="17"/>
      <x v="1"/>
    </i>
    <i r="3">
      <x v="158"/>
      <x v="1"/>
      <x v="17"/>
      <x v="1"/>
    </i>
    <i r="1">
      <x v="14"/>
      <x v="115"/>
      <x v="208"/>
      <x v="11"/>
      <x v="10"/>
      <x/>
    </i>
    <i r="3">
      <x v="209"/>
      <x v="11"/>
      <x v="6"/>
      <x/>
    </i>
    <i r="3">
      <x v="211"/>
      <x v="1"/>
      <x v="17"/>
      <x v="1"/>
    </i>
    <i>
      <x v="2"/>
      <x v="15"/>
      <x v="72"/>
      <x v="1"/>
      <x v="11"/>
      <x v="6"/>
      <x/>
    </i>
    <i r="3">
      <x v="18"/>
      <x v="11"/>
      <x v="6"/>
      <x/>
    </i>
    <i r="3">
      <x v="44"/>
      <x v="11"/>
      <x v="10"/>
      <x/>
    </i>
    <i r="3">
      <x v="111"/>
      <x v="1"/>
      <x v="17"/>
      <x v="1"/>
    </i>
    <i r="3">
      <x v="115"/>
      <x v="1"/>
      <x v="17"/>
      <x v="1"/>
    </i>
    <i r="3">
      <x v="116"/>
      <x v="1"/>
      <x v="17"/>
      <x v="1"/>
    </i>
    <i r="3">
      <x v="117"/>
      <x v="1"/>
      <x v="17"/>
      <x v="1"/>
    </i>
    <i r="3">
      <x v="199"/>
      <x v="1"/>
      <x v="17"/>
      <x v="1"/>
    </i>
    <i r="3">
      <x v="215"/>
      <x v="1"/>
      <x v="17"/>
      <x v="1"/>
    </i>
    <i r="3">
      <x v="218"/>
      <x v="1"/>
      <x v="17"/>
      <x v="1"/>
    </i>
    <i r="1">
      <x v="16"/>
      <x v="93"/>
      <x v="142"/>
      <x v="9"/>
      <x v="17"/>
      <x v="1"/>
    </i>
    <i r="3">
      <x v="161"/>
      <x v="1"/>
      <x v="12"/>
      <x v="1"/>
    </i>
    <i r="3">
      <x v="205"/>
      <x v="1"/>
      <x v="17"/>
      <x v="1"/>
    </i>
    <i r="1">
      <x v="17"/>
      <x v="95"/>
      <x v="2"/>
      <x v="11"/>
      <x v="6"/>
      <x/>
    </i>
    <i r="1">
      <x v="18"/>
      <x v="63"/>
      <x v="16"/>
      <x v="1"/>
      <x v="17"/>
      <x v="2"/>
    </i>
    <i r="3">
      <x v="29"/>
      <x v="1"/>
      <x v="17"/>
      <x v="2"/>
    </i>
    <i r="3">
      <x v="55"/>
      <x v="11"/>
      <x v="10"/>
      <x/>
    </i>
    <i r="3">
      <x v="61"/>
      <x v="11"/>
      <x v="10"/>
      <x/>
    </i>
    <i r="3">
      <x v="80"/>
      <x v="1"/>
      <x v="22"/>
      <x v="1"/>
    </i>
    <i r="1">
      <x v="20"/>
      <x v="58"/>
      <x v="169"/>
      <x v="12"/>
      <x v="17"/>
      <x v="1"/>
    </i>
    <i r="1">
      <x v="35"/>
      <x v="97"/>
      <x v="222"/>
      <x v="4"/>
      <x v="18"/>
      <x v="2"/>
    </i>
    <i>
      <x v="3"/>
      <x v="21"/>
      <x v="54"/>
      <x v="60"/>
      <x v="12"/>
      <x v="17"/>
      <x v="1"/>
    </i>
    <i r="3">
      <x v="89"/>
      <x v="1"/>
      <x v="24"/>
      <x v="1"/>
    </i>
    <i r="3">
      <x v="124"/>
      <x v="3"/>
      <x v="17"/>
      <x v="1"/>
    </i>
    <i r="3">
      <x v="135"/>
      <x v="1"/>
      <x v="24"/>
      <x v="1"/>
    </i>
    <i r="3">
      <x v="174"/>
      <x v="1"/>
      <x v="17"/>
      <x v="1"/>
    </i>
    <i r="3">
      <x v="185"/>
      <x v="1"/>
      <x v="17"/>
      <x v="2"/>
    </i>
    <i r="3">
      <x v="212"/>
      <x v="1"/>
      <x v="2"/>
      <x v="1"/>
    </i>
    <i r="1">
      <x v="22"/>
      <x v="102"/>
      <x v="127"/>
      <x v="1"/>
      <x v="17"/>
      <x v="1"/>
    </i>
    <i r="3">
      <x v="224"/>
      <x v="4"/>
      <x v="18"/>
      <x v="2"/>
    </i>
    <i r="1">
      <x v="23"/>
      <x v="103"/>
      <x v="8"/>
      <x v="1"/>
      <x v="12"/>
      <x v="1"/>
    </i>
    <i r="3">
      <x v="9"/>
      <x v="1"/>
      <x v="12"/>
      <x v="1"/>
    </i>
    <i r="3">
      <x v="210"/>
      <x v="11"/>
      <x v="6"/>
      <x/>
    </i>
    <i r="1">
      <x v="24"/>
      <x v="104"/>
      <x v="10"/>
      <x v="1"/>
      <x v="12"/>
      <x v="1"/>
    </i>
    <i r="1">
      <x v="25"/>
      <x v="90"/>
      <x v="103"/>
      <x v="1"/>
      <x v="4"/>
      <x v="1"/>
    </i>
    <i r="3">
      <x v="184"/>
      <x v="1"/>
      <x v="1"/>
      <x v="1"/>
    </i>
    <i r="1">
      <x v="33"/>
      <x v="106"/>
      <x v="207"/>
      <x v="11"/>
      <x v="10"/>
      <x/>
    </i>
    <i>
      <x v="4"/>
      <x v="26"/>
      <x v="82"/>
      <x v="34"/>
      <x v="12"/>
      <x v="17"/>
      <x v="1"/>
    </i>
    <i r="3">
      <x v="47"/>
      <x v="12"/>
      <x v="17"/>
      <x v="1"/>
    </i>
    <i r="1">
      <x v="28"/>
      <x v="73"/>
      <x v="64"/>
      <x v="3"/>
      <x v="17"/>
      <x v="1"/>
    </i>
    <i r="4">
      <x v="12"/>
      <x v="17"/>
      <x v="1"/>
    </i>
    <i r="1">
      <x v="29"/>
      <x v="56"/>
      <x v="163"/>
      <x v="12"/>
      <x v="17"/>
      <x v="1"/>
    </i>
    <i r="3">
      <x v="219"/>
      <x v="4"/>
      <x v="17"/>
      <x v="2"/>
    </i>
    <i r="3">
      <x v="225"/>
      <x v="4"/>
      <x v="18"/>
      <x v="2"/>
    </i>
    <i r="1">
      <x v="30"/>
      <x v="74"/>
      <x v="38"/>
      <x v="1"/>
      <x v="14"/>
      <x v="1"/>
    </i>
    <i r="4">
      <x v="12"/>
      <x v="17"/>
      <x v="1"/>
    </i>
    <i r="1">
      <x v="31"/>
      <x v="92"/>
      <x v="149"/>
      <x v="1"/>
      <x v="17"/>
      <x v="1"/>
    </i>
    <i>
      <x v="5"/>
      <x/>
      <x v="48"/>
      <x v="202"/>
      <x v="1"/>
      <x v="9"/>
      <x v="1"/>
    </i>
    <i>
      <x v="6"/>
      <x v="32"/>
      <x v="118"/>
      <x v="67"/>
      <x v="4"/>
      <x v="18"/>
      <x v="2"/>
    </i>
    <i t="grand">
      <x/>
    </i>
  </rowItems>
  <colFields count="1">
    <field x="-2"/>
  </colFields>
  <colItems count="7">
    <i>
      <x/>
    </i>
    <i i="1">
      <x v="1"/>
    </i>
    <i i="2">
      <x v="2"/>
    </i>
    <i i="3">
      <x v="3"/>
    </i>
    <i i="4">
      <x v="4"/>
    </i>
    <i i="5">
      <x v="5"/>
    </i>
    <i i="6">
      <x v="6"/>
    </i>
  </colItems>
  <pageFields count="1">
    <pageField fld="10" hier="-1"/>
  </pageFields>
  <dataFields count="7">
    <dataField name="2024 Actual_" fld="29" baseField="0" baseItem="0"/>
    <dataField name="2025 Actual_" fld="30" baseField="20" baseItem="1"/>
    <dataField name="2026 Budget_" fld="31" baseField="0" baseItem="0"/>
    <dataField name="2027 Budget_" fld="32" baseField="0" baseItem="0"/>
    <dataField name="2028 Budget_" fld="33" baseField="0" baseItem="0"/>
    <dataField name="2029 Budget_" fld="34" baseField="0" baseItem="0"/>
    <dataField name="Total WRP Funding Allocated USD_" fld="26" baseField="0" baseItem="0"/>
  </dataFields>
  <formats count="294">
    <format dxfId="88">
      <pivotArea outline="0" collapsedLevelsAreSubtotals="1" fieldPosition="0"/>
    </format>
    <format dxfId="89">
      <pivotArea type="all" dataOnly="0" outline="0" fieldPosition="0"/>
    </format>
    <format dxfId="90">
      <pivotArea outline="0" collapsedLevelsAreSubtotals="1" fieldPosition="0"/>
    </format>
    <format dxfId="91">
      <pivotArea field="0" type="button" dataOnly="0" labelOnly="1" outline="0" axis="axisRow" fieldPosition="0"/>
    </format>
    <format dxfId="92">
      <pivotArea field="1" type="button" dataOnly="0" labelOnly="1" outline="0"/>
    </format>
    <format dxfId="93">
      <pivotArea dataOnly="0" labelOnly="1" grandRow="1" outline="0" fieldPosition="0"/>
    </format>
    <format dxfId="94">
      <pivotArea field="1" type="button" dataOnly="0" labelOnly="1" outline="0"/>
    </format>
    <format dxfId="95">
      <pivotArea dataOnly="0" labelOnly="1" outline="0" fieldPosition="0">
        <references count="1">
          <reference field="0" count="0"/>
        </references>
      </pivotArea>
    </format>
    <format dxfId="96">
      <pivotArea dataOnly="0" labelOnly="1" outline="0" fieldPosition="0">
        <references count="1">
          <reference field="0" count="0"/>
        </references>
      </pivotArea>
    </format>
    <format dxfId="97">
      <pivotArea dataOnly="0" labelOnly="1" outline="0" fieldPosition="0">
        <references count="1">
          <reference field="0" count="0"/>
        </references>
      </pivotArea>
    </format>
    <format dxfId="98">
      <pivotArea dataOnly="0" labelOnly="1" outline="0" fieldPosition="0">
        <references count="3">
          <reference field="0" count="1" selected="0">
            <x v="4"/>
          </reference>
          <reference field="4" count="1" selected="0">
            <x v="38"/>
          </reference>
          <reference field="5" count="1">
            <x v="130"/>
          </reference>
        </references>
      </pivotArea>
    </format>
    <format dxfId="99">
      <pivotArea dataOnly="0" labelOnly="1" outline="0" fieldPosition="0">
        <references count="3">
          <reference field="0" count="1" selected="0">
            <x v="5"/>
          </reference>
          <reference field="4" count="1" selected="0">
            <x v="61"/>
          </reference>
          <reference field="5" count="1">
            <x v="142"/>
          </reference>
        </references>
      </pivotArea>
    </format>
    <format dxfId="100">
      <pivotArea dataOnly="0" labelOnly="1" outline="0" fieldPosition="0">
        <references count="3">
          <reference field="0" count="1" selected="0">
            <x v="0"/>
          </reference>
          <reference field="4" count="1" selected="0">
            <x v="86"/>
          </reference>
          <reference field="5" count="1">
            <x v="152"/>
          </reference>
        </references>
      </pivotArea>
    </format>
    <format dxfId="101">
      <pivotArea dataOnly="0" labelOnly="1" outline="0" fieldPosition="0">
        <references count="3">
          <reference field="0" count="1" selected="0">
            <x v="0"/>
          </reference>
          <reference field="4" count="1" selected="0">
            <x v="86"/>
          </reference>
          <reference field="5" count="1">
            <x v="151"/>
          </reference>
        </references>
      </pivotArea>
    </format>
    <format dxfId="102">
      <pivotArea dataOnly="0" labelOnly="1" outline="0" fieldPosition="0">
        <references count="3">
          <reference field="0" count="1" selected="0">
            <x v="0"/>
          </reference>
          <reference field="4" count="1" selected="0">
            <x v="86"/>
          </reference>
          <reference field="5" count="1">
            <x v="150"/>
          </reference>
        </references>
      </pivotArea>
    </format>
    <format dxfId="103">
      <pivotArea dataOnly="0" labelOnly="1" outline="0" fieldPosition="0">
        <references count="3">
          <reference field="0" count="1" selected="0">
            <x v="1"/>
          </reference>
          <reference field="4" count="1" selected="0">
            <x v="59"/>
          </reference>
          <reference field="5" count="1">
            <x v="158"/>
          </reference>
        </references>
      </pivotArea>
    </format>
    <format dxfId="104">
      <pivotArea dataOnly="0" labelOnly="1" outline="0" fieldPosition="0">
        <references count="4">
          <reference field="0" count="1" selected="0">
            <x v="1"/>
          </reference>
          <reference field="4" count="1" selected="0">
            <x v="59"/>
          </reference>
          <reference field="5" count="1" selected="0">
            <x v="158"/>
          </reference>
          <reference field="25" count="1">
            <x v="1"/>
          </reference>
        </references>
      </pivotArea>
    </format>
    <format dxfId="105">
      <pivotArea dataOnly="0" labelOnly="1" outline="0" fieldPosition="0">
        <references count="3">
          <reference field="0" count="1" selected="0">
            <x v="5"/>
          </reference>
          <reference field="4" count="1" selected="0">
            <x v="61"/>
          </reference>
          <reference field="5" count="1">
            <x v="157"/>
          </reference>
        </references>
      </pivotArea>
    </format>
    <format dxfId="106">
      <pivotArea dataOnly="0" labelOnly="1" outline="0" fieldPosition="0">
        <references count="3">
          <reference field="0" count="1" selected="0">
            <x v="4"/>
          </reference>
          <reference field="4" count="1" selected="0">
            <x v="51"/>
          </reference>
          <reference field="5" count="1">
            <x v="147"/>
          </reference>
        </references>
      </pivotArea>
    </format>
    <format dxfId="107">
      <pivotArea dataOnly="0" labelOnly="1" outline="0" fieldPosition="0">
        <references count="4">
          <reference field="0" count="1" selected="0">
            <x v="4"/>
          </reference>
          <reference field="4" count="1" selected="0">
            <x v="51"/>
          </reference>
          <reference field="5" count="1" selected="0">
            <x v="147"/>
          </reference>
          <reference field="25" count="1">
            <x v="3"/>
          </reference>
        </references>
      </pivotArea>
    </format>
    <format dxfId="108">
      <pivotArea dataOnly="0" labelOnly="1" outline="0" fieldPosition="0">
        <references count="3">
          <reference field="0" count="1" selected="0">
            <x v="4"/>
          </reference>
          <reference field="4" count="1" selected="0">
            <x v="87"/>
          </reference>
          <reference field="5" count="1">
            <x v="149"/>
          </reference>
        </references>
      </pivotArea>
    </format>
    <format dxfId="109">
      <pivotArea dataOnly="0" labelOnly="1" outline="0" fieldPosition="0">
        <references count="4">
          <reference field="0" count="1" selected="0">
            <x v="4"/>
          </reference>
          <reference field="4" count="1" selected="0">
            <x v="87"/>
          </reference>
          <reference field="5" count="1" selected="0">
            <x v="149"/>
          </reference>
          <reference field="25" count="1">
            <x v="1"/>
          </reference>
        </references>
      </pivotArea>
    </format>
    <format dxfId="110">
      <pivotArea dataOnly="0" labelOnly="1" outline="0" fieldPosition="0">
        <references count="3">
          <reference field="0" count="1" selected="0">
            <x v="2"/>
          </reference>
          <reference field="4" count="1" selected="0">
            <x v="93"/>
          </reference>
          <reference field="5" count="1">
            <x v="142"/>
          </reference>
        </references>
      </pivotArea>
    </format>
    <format dxfId="111">
      <pivotArea dataOnly="0" labelOnly="1" outline="0" fieldPosition="0">
        <references count="4">
          <reference field="0" count="1" selected="0">
            <x v="2"/>
          </reference>
          <reference field="4" count="1" selected="0">
            <x v="93"/>
          </reference>
          <reference field="5" count="1" selected="0">
            <x v="142"/>
          </reference>
          <reference field="25" count="1">
            <x v="9"/>
          </reference>
        </references>
      </pivotArea>
    </format>
    <format dxfId="112">
      <pivotArea dataOnly="0" labelOnly="1" outline="0" fieldPosition="0">
        <references count="3">
          <reference field="0" count="1" selected="0">
            <x v="4"/>
          </reference>
          <reference field="4" count="1" selected="0">
            <x v="87"/>
          </reference>
          <reference field="5" count="1">
            <x v="149"/>
          </reference>
        </references>
      </pivotArea>
    </format>
    <format dxfId="113">
      <pivotArea dataOnly="0" labelOnly="1" outline="0" fieldPosition="0">
        <references count="4">
          <reference field="0" count="1" selected="0">
            <x v="4"/>
          </reference>
          <reference field="4" count="1" selected="0">
            <x v="87"/>
          </reference>
          <reference field="5" count="1" selected="0">
            <x v="149"/>
          </reference>
          <reference field="25" count="1">
            <x v="1"/>
          </reference>
        </references>
      </pivotArea>
    </format>
    <format dxfId="114">
      <pivotArea dataOnly="0" labelOnly="1" outline="0" fieldPosition="0">
        <references count="1">
          <reference field="10" count="0"/>
        </references>
      </pivotArea>
    </format>
    <format dxfId="115">
      <pivotArea dataOnly="0" labelOnly="1" outline="0" fieldPosition="0">
        <references count="3">
          <reference field="0" count="1" selected="0">
            <x v="0"/>
          </reference>
          <reference field="4" count="1" selected="0">
            <x v="86"/>
          </reference>
          <reference field="5" count="2">
            <x v="154"/>
            <x v="155"/>
          </reference>
        </references>
      </pivotArea>
    </format>
    <format dxfId="116">
      <pivotArea dataOnly="0" labelOnly="1" outline="0" fieldPosition="0">
        <references count="3">
          <reference field="0" count="1" selected="0">
            <x v="0"/>
          </reference>
          <reference field="4" count="1" selected="0">
            <x v="86"/>
          </reference>
          <reference field="5" count="3">
            <x v="150"/>
            <x v="151"/>
            <x v="152"/>
          </reference>
        </references>
      </pivotArea>
    </format>
    <format dxfId="117">
      <pivotArea dataOnly="0" labelOnly="1" outline="0" fieldPosition="0">
        <references count="3">
          <reference field="0" count="1" selected="0">
            <x v="0"/>
          </reference>
          <reference field="4" count="1" selected="0">
            <x v="86"/>
          </reference>
          <reference field="5" count="5">
            <x v="141"/>
            <x v="143"/>
            <x v="144"/>
            <x v="145"/>
            <x v="146"/>
          </reference>
        </references>
      </pivotArea>
    </format>
    <format dxfId="118">
      <pivotArea dataOnly="0" labelOnly="1" outline="0" fieldPosition="0">
        <references count="4">
          <reference field="0" count="1" selected="0">
            <x v="2"/>
          </reference>
          <reference field="4" count="1" selected="0">
            <x v="93"/>
          </reference>
          <reference field="5" count="1" selected="0">
            <x v="142"/>
          </reference>
          <reference field="25" count="1">
            <x v="9"/>
          </reference>
        </references>
      </pivotArea>
    </format>
    <format dxfId="119">
      <pivotArea dataOnly="0" labelOnly="1" outline="0" fieldPosition="0">
        <references count="1">
          <reference field="5" count="0"/>
        </references>
      </pivotArea>
    </format>
    <format dxfId="120">
      <pivotArea dataOnly="0" labelOnly="1" outline="0" fieldPosition="0">
        <references count="3">
          <reference field="0" count="1" selected="0">
            <x v="0"/>
          </reference>
          <reference field="4" count="1" selected="0">
            <x v="86"/>
          </reference>
          <reference field="5" count="12">
            <x v="141"/>
            <x v="143"/>
            <x v="144"/>
            <x v="145"/>
            <x v="146"/>
            <x v="150"/>
            <x v="151"/>
            <x v="152"/>
            <x v="153"/>
            <x v="154"/>
            <x v="155"/>
            <x v="156"/>
          </reference>
        </references>
      </pivotArea>
    </format>
    <format dxfId="121">
      <pivotArea dataOnly="0" labelOnly="1" outline="0" fieldPosition="0">
        <references count="3">
          <reference field="0" count="1" selected="0">
            <x v="1"/>
          </reference>
          <reference field="4" count="1" selected="0">
            <x v="91"/>
          </reference>
          <reference field="5" count="1">
            <x v="147"/>
          </reference>
        </references>
      </pivotArea>
    </format>
    <format dxfId="122">
      <pivotArea dataOnly="0" labelOnly="1" outline="0" fieldPosition="0">
        <references count="3">
          <reference field="0" count="1" selected="0">
            <x v="1"/>
          </reference>
          <reference field="4" count="1" selected="0">
            <x v="91"/>
          </reference>
          <reference field="5" count="1">
            <x v="158"/>
          </reference>
        </references>
      </pivotArea>
    </format>
    <format dxfId="123">
      <pivotArea dataOnly="0" labelOnly="1" outline="0" fieldPosition="0">
        <references count="3">
          <reference field="0" count="1" selected="0">
            <x v="2"/>
          </reference>
          <reference field="4" count="1" selected="0">
            <x v="93"/>
          </reference>
          <reference field="5" count="1">
            <x v="142"/>
          </reference>
        </references>
      </pivotArea>
    </format>
    <format dxfId="124">
      <pivotArea dataOnly="0" labelOnly="1" outline="0" fieldPosition="0">
        <references count="3">
          <reference field="0" count="1" selected="0">
            <x v="2"/>
          </reference>
          <reference field="4" count="1" selected="0">
            <x v="93"/>
          </reference>
          <reference field="5" count="1">
            <x v="161"/>
          </reference>
        </references>
      </pivotArea>
    </format>
    <format dxfId="125">
      <pivotArea dataOnly="0" labelOnly="1" outline="0" fieldPosition="0">
        <references count="3">
          <reference field="0" count="1" selected="0">
            <x v="2"/>
          </reference>
          <reference field="4" count="1" selected="0">
            <x v="93"/>
          </reference>
          <reference field="5" count="1">
            <x v="187"/>
          </reference>
        </references>
      </pivotArea>
    </format>
    <format dxfId="126">
      <pivotArea dataOnly="0" labelOnly="1" outline="0" fieldPosition="0">
        <references count="3">
          <reference field="0" count="1" selected="0">
            <x v="4"/>
          </reference>
          <reference field="4" count="1" selected="0">
            <x v="92"/>
          </reference>
          <reference field="5" count="1">
            <x v="149"/>
          </reference>
        </references>
      </pivotArea>
    </format>
    <format dxfId="127">
      <pivotArea dataOnly="0" labelOnly="1" outline="0" fieldPosition="0">
        <references count="1">
          <reference field="4" count="0"/>
        </references>
      </pivotArea>
    </format>
    <format dxfId="128">
      <pivotArea dataOnly="0" labelOnly="1" outline="0" fieldPosition="0">
        <references count="3">
          <reference field="0" count="1" selected="0">
            <x v="0"/>
          </reference>
          <reference field="4" count="1" selected="0">
            <x v="86"/>
          </reference>
          <reference field="5" count="11">
            <x v="141"/>
            <x v="143"/>
            <x v="144"/>
            <x v="146"/>
            <x v="150"/>
            <x v="151"/>
            <x v="152"/>
            <x v="153"/>
            <x v="154"/>
            <x v="155"/>
            <x v="156"/>
          </reference>
        </references>
      </pivotArea>
    </format>
    <format dxfId="129">
      <pivotArea dataOnly="0" labelOnly="1" outline="0" fieldPosition="0">
        <references count="3">
          <reference field="0" count="1" selected="0">
            <x v="4"/>
          </reference>
          <reference field="4" count="1" selected="0">
            <x v="92"/>
          </reference>
          <reference field="5" count="1">
            <x v="149"/>
          </reference>
        </references>
      </pivotArea>
    </format>
    <format dxfId="130">
      <pivotArea dataOnly="0" labelOnly="1" outline="0" fieldPosition="0">
        <references count="3">
          <reference field="0" count="1" selected="0">
            <x v="2"/>
          </reference>
          <reference field="4" count="1" selected="0">
            <x v="93"/>
          </reference>
          <reference field="5" count="3">
            <x v="142"/>
            <x v="161"/>
            <x v="187"/>
          </reference>
        </references>
      </pivotArea>
    </format>
    <format dxfId="131">
      <pivotArea dataOnly="0" labelOnly="1" outline="0" fieldPosition="0">
        <references count="3">
          <reference field="0" count="1" selected="0">
            <x v="1"/>
          </reference>
          <reference field="4" count="1" selected="0">
            <x v="91"/>
          </reference>
          <reference field="5" count="2">
            <x v="147"/>
            <x v="158"/>
          </reference>
        </references>
      </pivotArea>
    </format>
    <format dxfId="132">
      <pivotArea dataOnly="0" labelOnly="1" outline="0" fieldPosition="0">
        <references count="3">
          <reference field="0" count="1" selected="0">
            <x v="0"/>
          </reference>
          <reference field="4" count="1" selected="0">
            <x v="86"/>
          </reference>
          <reference field="5" count="10">
            <x v="141"/>
            <x v="143"/>
            <x v="144"/>
            <x v="146"/>
            <x v="150"/>
            <x v="151"/>
            <x v="153"/>
            <x v="154"/>
            <x v="155"/>
            <x v="156"/>
          </reference>
        </references>
      </pivotArea>
    </format>
    <format dxfId="133">
      <pivotArea dataOnly="0" labelOnly="1" outline="0" fieldPosition="0">
        <references count="3">
          <reference field="0" count="1" selected="0">
            <x v="0"/>
          </reference>
          <reference field="4" count="1" selected="0">
            <x v="86"/>
          </reference>
          <reference field="5" count="1">
            <x v="192"/>
          </reference>
        </references>
      </pivotArea>
    </format>
    <format dxfId="134">
      <pivotArea field="10" type="button" dataOnly="0" labelOnly="1" outline="0" axis="axisPage" fieldPosition="0"/>
    </format>
    <format dxfId="135">
      <pivotArea dataOnly="0" labelOnly="1" outline="0" fieldPosition="0">
        <references count="4">
          <reference field="0" count="1" selected="0">
            <x v="0"/>
          </reference>
          <reference field="2" count="1" selected="0">
            <x v="1"/>
          </reference>
          <reference field="4" count="1" selected="0">
            <x v="62"/>
          </reference>
          <reference field="5" count="1">
            <x v="45"/>
          </reference>
        </references>
      </pivotArea>
    </format>
    <format dxfId="136">
      <pivotArea dataOnly="0" labelOnly="1" outline="0" fieldPosition="0">
        <references count="4">
          <reference field="0" count="1" selected="0">
            <x v="0"/>
          </reference>
          <reference field="2" count="1" selected="0">
            <x v="5"/>
          </reference>
          <reference field="4" count="1" selected="0">
            <x v="107"/>
          </reference>
          <reference field="5" count="1">
            <x v="171"/>
          </reference>
        </references>
      </pivotArea>
    </format>
    <format dxfId="137">
      <pivotArea dataOnly="0" labelOnly="1" outline="0" fieldPosition="0">
        <references count="4">
          <reference field="0" count="1" selected="0">
            <x v="0"/>
          </reference>
          <reference field="2" count="1" selected="0">
            <x v="5"/>
          </reference>
          <reference field="4" count="1" selected="0">
            <x v="107"/>
          </reference>
          <reference field="5" count="1">
            <x v="171"/>
          </reference>
        </references>
      </pivotArea>
    </format>
    <format dxfId="138">
      <pivotArea dataOnly="0" labelOnly="1" outline="0" fieldPosition="0">
        <references count="4">
          <reference field="0" count="1" selected="0">
            <x v="1"/>
          </reference>
          <reference field="2" count="1" selected="0">
            <x v="11"/>
          </reference>
          <reference field="4" count="1" selected="0">
            <x v="57"/>
          </reference>
          <reference field="5" count="1">
            <x v="30"/>
          </reference>
        </references>
      </pivotArea>
    </format>
    <format dxfId="139">
      <pivotArea dataOnly="0" labelOnly="1" outline="0" fieldPosition="0">
        <references count="4">
          <reference field="0" count="1" selected="0">
            <x v="0"/>
          </reference>
          <reference field="2" count="1" selected="0">
            <x v="4"/>
          </reference>
          <reference field="4" count="1" selected="0">
            <x v="86"/>
          </reference>
          <reference field="5" count="1">
            <x v="198"/>
          </reference>
        </references>
      </pivotArea>
    </format>
    <format dxfId="140">
      <pivotArea dataOnly="0" labelOnly="1" outline="0" fieldPosition="0">
        <references count="4">
          <reference field="0" count="1" selected="0">
            <x v="1"/>
          </reference>
          <reference field="2" count="1" selected="0">
            <x v="13"/>
          </reference>
          <reference field="4" count="1" selected="0">
            <x v="91"/>
          </reference>
          <reference field="5" count="2">
            <x v="147"/>
            <x v="158"/>
          </reference>
        </references>
      </pivotArea>
    </format>
    <format dxfId="141">
      <pivotArea dataOnly="0" labelOnly="1" outline="0" fieldPosition="0">
        <references count="4">
          <reference field="0" count="1" selected="0">
            <x v="2"/>
          </reference>
          <reference field="2" count="1" selected="0">
            <x v="16"/>
          </reference>
          <reference field="4" count="1" selected="0">
            <x v="93"/>
          </reference>
          <reference field="5" count="2">
            <x v="142"/>
            <x v="161"/>
          </reference>
        </references>
      </pivotArea>
    </format>
    <format dxfId="142">
      <pivotArea dataOnly="0" labelOnly="1" outline="0" fieldPosition="0">
        <references count="2">
          <reference field="0" count="1" selected="0">
            <x v="1"/>
          </reference>
          <reference field="2" count="1">
            <x v="7"/>
          </reference>
        </references>
      </pivotArea>
    </format>
    <format dxfId="143">
      <pivotArea dataOnly="0" labelOnly="1" outline="0" fieldPosition="0">
        <references count="2">
          <reference field="0" count="1" selected="0">
            <x v="1"/>
          </reference>
          <reference field="2" count="1">
            <x v="8"/>
          </reference>
        </references>
      </pivotArea>
    </format>
    <format dxfId="144">
      <pivotArea dataOnly="0" labelOnly="1" outline="0" fieldPosition="0">
        <references count="2">
          <reference field="0" count="1" selected="0">
            <x v="1"/>
          </reference>
          <reference field="2" count="1">
            <x v="9"/>
          </reference>
        </references>
      </pivotArea>
    </format>
    <format dxfId="145">
      <pivotArea dataOnly="0" labelOnly="1" outline="0" fieldPosition="0">
        <references count="2">
          <reference field="0" count="1" selected="0">
            <x v="1"/>
          </reference>
          <reference field="2" count="1">
            <x v="10"/>
          </reference>
        </references>
      </pivotArea>
    </format>
    <format dxfId="146">
      <pivotArea dataOnly="0" labelOnly="1" outline="0" fieldPosition="0">
        <references count="2">
          <reference field="0" count="1" selected="0">
            <x v="1"/>
          </reference>
          <reference field="2" count="1">
            <x v="11"/>
          </reference>
        </references>
      </pivotArea>
    </format>
    <format dxfId="147">
      <pivotArea dataOnly="0" labelOnly="1" outline="0" fieldPosition="0">
        <references count="4">
          <reference field="0" count="1" selected="0">
            <x v="2"/>
          </reference>
          <reference field="2" count="1" selected="0">
            <x v="16"/>
          </reference>
          <reference field="4" count="1" selected="0">
            <x v="93"/>
          </reference>
          <reference field="5" count="1">
            <x v="142"/>
          </reference>
        </references>
      </pivotArea>
    </format>
    <format dxfId="148">
      <pivotArea dataOnly="0" labelOnly="1" outline="0" fieldPosition="0">
        <references count="4">
          <reference field="0" count="1" selected="0">
            <x v="1"/>
          </reference>
          <reference field="2" count="1" selected="0">
            <x v="14"/>
          </reference>
          <reference field="4" count="1" selected="0">
            <x v="115"/>
          </reference>
          <reference field="5" count="1">
            <x v="211"/>
          </reference>
        </references>
      </pivotArea>
    </format>
    <format dxfId="149">
      <pivotArea dataOnly="0" labelOnly="1" outline="0" offset="IV1" fieldPosition="0">
        <references count="4">
          <reference field="0" count="1" selected="0">
            <x v="0"/>
          </reference>
          <reference field="2" count="1" selected="0">
            <x v="2"/>
          </reference>
          <reference field="4" count="1" selected="0">
            <x v="80"/>
          </reference>
          <reference field="5" count="1">
            <x v="21"/>
          </reference>
        </references>
      </pivotArea>
    </format>
    <format dxfId="150">
      <pivotArea dataOnly="0" labelOnly="1" outline="0" fieldPosition="0">
        <references count="4">
          <reference field="0" count="1" selected="0">
            <x v="1"/>
          </reference>
          <reference field="2" count="1" selected="0">
            <x v="8"/>
          </reference>
          <reference field="4" count="1" selected="0">
            <x v="109"/>
          </reference>
          <reference field="5" count="1">
            <x v="82"/>
          </reference>
        </references>
      </pivotArea>
    </format>
    <format dxfId="151">
      <pivotArea dataOnly="0" labelOnly="1" outline="0" fieldPosition="0">
        <references count="4">
          <reference field="0" count="1" selected="0">
            <x v="1"/>
          </reference>
          <reference field="2" count="1" selected="0">
            <x v="9"/>
          </reference>
          <reference field="4" count="1" selected="0">
            <x v="112"/>
          </reference>
          <reference field="5" count="1">
            <x v="83"/>
          </reference>
        </references>
      </pivotArea>
    </format>
    <format dxfId="152">
      <pivotArea dataOnly="0" labelOnly="1" outline="0" offset="IV1" fieldPosition="0">
        <references count="4">
          <reference field="0" count="1" selected="0">
            <x v="1"/>
          </reference>
          <reference field="2" count="1" selected="0">
            <x v="10"/>
          </reference>
          <reference field="4" count="1" selected="0">
            <x v="111"/>
          </reference>
          <reference field="5" count="1">
            <x v="197"/>
          </reference>
        </references>
      </pivotArea>
    </format>
    <format dxfId="153">
      <pivotArea dataOnly="0" labelOnly="1" outline="0" fieldPosition="0">
        <references count="4">
          <reference field="0" count="1" selected="0">
            <x v="1"/>
          </reference>
          <reference field="2" count="1" selected="0">
            <x v="9"/>
          </reference>
          <reference field="4" count="1" selected="0">
            <x v="112"/>
          </reference>
          <reference field="5" count="1">
            <x v="83"/>
          </reference>
        </references>
      </pivotArea>
    </format>
    <format dxfId="154">
      <pivotArea dataOnly="0" labelOnly="1" outline="0" fieldPosition="0">
        <references count="4">
          <reference field="0" count="1" selected="0">
            <x v="2"/>
          </reference>
          <reference field="2" count="1" selected="0">
            <x v="16"/>
          </reference>
          <reference field="4" count="1" selected="0">
            <x v="93"/>
          </reference>
          <reference field="5" count="1">
            <x v="161"/>
          </reference>
        </references>
      </pivotArea>
    </format>
    <format dxfId="155">
      <pivotArea dataOnly="0" labelOnly="1" outline="0" fieldPosition="0">
        <references count="4">
          <reference field="0" count="1" selected="0">
            <x v="3"/>
          </reference>
          <reference field="2" count="1" selected="0">
            <x v="21"/>
          </reference>
          <reference field="4" count="1" selected="0">
            <x v="54"/>
          </reference>
          <reference field="5" count="1">
            <x v="89"/>
          </reference>
        </references>
      </pivotArea>
    </format>
    <format dxfId="156">
      <pivotArea dataOnly="0" labelOnly="1" outline="0" fieldPosition="0">
        <references count="4">
          <reference field="0" count="1" selected="0">
            <x v="3"/>
          </reference>
          <reference field="2" count="1" selected="0">
            <x v="25"/>
          </reference>
          <reference field="4" count="1" selected="0">
            <x v="90"/>
          </reference>
          <reference field="5" count="1">
            <x v="103"/>
          </reference>
        </references>
      </pivotArea>
    </format>
    <format dxfId="157">
      <pivotArea dataOnly="0" labelOnly="1" outline="0" fieldPosition="0">
        <references count="4">
          <reference field="0" count="1" selected="0">
            <x v="4"/>
          </reference>
          <reference field="2" count="1" selected="0">
            <x v="31"/>
          </reference>
          <reference field="4" count="1" selected="0">
            <x v="92"/>
          </reference>
          <reference field="5" count="1">
            <x v="149"/>
          </reference>
        </references>
      </pivotArea>
    </format>
    <format dxfId="158">
      <pivotArea dataOnly="0" labelOnly="1" outline="0" fieldPosition="0">
        <references count="4">
          <reference field="0" count="1" selected="0">
            <x v="4"/>
          </reference>
          <reference field="2" count="1" selected="0">
            <x v="26"/>
          </reference>
          <reference field="4" count="1" selected="0">
            <x v="82"/>
          </reference>
          <reference field="5" count="1">
            <x v="34"/>
          </reference>
        </references>
      </pivotArea>
    </format>
    <format dxfId="159">
      <pivotArea dataOnly="0" labelOnly="1" outline="0" fieldPosition="0">
        <references count="4">
          <reference field="0" count="1" selected="0">
            <x v="4"/>
          </reference>
          <reference field="2" count="1" selected="0">
            <x v="26"/>
          </reference>
          <reference field="4" count="1" selected="0">
            <x v="82"/>
          </reference>
          <reference field="5" count="1">
            <x v="47"/>
          </reference>
        </references>
      </pivotArea>
    </format>
    <format dxfId="160">
      <pivotArea dataOnly="0" labelOnly="1" outline="0" fieldPosition="0">
        <references count="4">
          <reference field="0" count="1" selected="0">
            <x v="4"/>
          </reference>
          <reference field="2" count="1" selected="0">
            <x v="26"/>
          </reference>
          <reference field="4" count="1" selected="0">
            <x v="82"/>
          </reference>
          <reference field="5" count="2">
            <x v="34"/>
            <x v="47"/>
          </reference>
        </references>
      </pivotArea>
    </format>
    <format dxfId="161">
      <pivotArea type="all" dataOnly="0" outline="0" fieldPosition="0"/>
    </format>
    <format dxfId="162">
      <pivotArea outline="0" collapsedLevelsAreSubtotals="1" fieldPosition="0"/>
    </format>
    <format dxfId="163">
      <pivotArea type="origin" dataOnly="0" labelOnly="1" outline="0" fieldPosition="0"/>
    </format>
    <format dxfId="164">
      <pivotArea field="-2" type="button" dataOnly="0" labelOnly="1" outline="0" axis="axisCol" fieldPosition="0"/>
    </format>
    <format dxfId="165">
      <pivotArea type="topRight" dataOnly="0" labelOnly="1" outline="0" fieldPosition="0"/>
    </format>
    <format dxfId="166">
      <pivotArea field="0" type="button" dataOnly="0" labelOnly="1" outline="0" axis="axisRow" fieldPosition="0"/>
    </format>
    <format dxfId="167">
      <pivotArea field="2" type="button" dataOnly="0" labelOnly="1" outline="0" axis="axisRow" fieldPosition="1"/>
    </format>
    <format dxfId="168">
      <pivotArea field="4" type="button" dataOnly="0" labelOnly="1" outline="0" axis="axisRow" fieldPosition="2"/>
    </format>
    <format dxfId="169">
      <pivotArea field="5" type="button" dataOnly="0" labelOnly="1" outline="0" axis="axisRow" fieldPosition="3"/>
    </format>
    <format dxfId="170">
      <pivotArea field="25" type="button" dataOnly="0" labelOnly="1" outline="0" axis="axisRow" fieldPosition="4"/>
    </format>
    <format dxfId="171">
      <pivotArea field="11" type="button" dataOnly="0" labelOnly="1" outline="0" axis="axisRow" fieldPosition="5"/>
    </format>
    <format dxfId="172">
      <pivotArea field="58" type="button" dataOnly="0" labelOnly="1" outline="0"/>
    </format>
    <format dxfId="173">
      <pivotArea dataOnly="0" labelOnly="1" outline="0" fieldPosition="0">
        <references count="1">
          <reference field="0" count="0"/>
        </references>
      </pivotArea>
    </format>
    <format dxfId="174">
      <pivotArea dataOnly="0" labelOnly="1" grandRow="1" outline="0" fieldPosition="0"/>
    </format>
    <format dxfId="175">
      <pivotArea dataOnly="0" labelOnly="1" outline="0" fieldPosition="0">
        <references count="2">
          <reference field="0" count="1" selected="0">
            <x v="0"/>
          </reference>
          <reference field="2" count="6">
            <x v="1"/>
            <x v="2"/>
            <x v="3"/>
            <x v="4"/>
            <x v="5"/>
            <x v="6"/>
          </reference>
        </references>
      </pivotArea>
    </format>
    <format dxfId="176">
      <pivotArea dataOnly="0" labelOnly="1" outline="0" fieldPosition="0">
        <references count="2">
          <reference field="0" count="1" selected="0">
            <x v="1"/>
          </reference>
          <reference field="2" count="8">
            <x v="7"/>
            <x v="8"/>
            <x v="9"/>
            <x v="10"/>
            <x v="11"/>
            <x v="12"/>
            <x v="13"/>
            <x v="14"/>
          </reference>
        </references>
      </pivotArea>
    </format>
    <format dxfId="177">
      <pivotArea dataOnly="0" labelOnly="1" outline="0" fieldPosition="0">
        <references count="2">
          <reference field="0" count="1" selected="0">
            <x v="2"/>
          </reference>
          <reference field="2" count="5">
            <x v="15"/>
            <x v="16"/>
            <x v="17"/>
            <x v="18"/>
            <x v="20"/>
          </reference>
        </references>
      </pivotArea>
    </format>
    <format dxfId="178">
      <pivotArea dataOnly="0" labelOnly="1" outline="0" fieldPosition="0">
        <references count="2">
          <reference field="0" count="1" selected="0">
            <x v="3"/>
          </reference>
          <reference field="2" count="6">
            <x v="21"/>
            <x v="22"/>
            <x v="23"/>
            <x v="24"/>
            <x v="25"/>
            <x v="33"/>
          </reference>
        </references>
      </pivotArea>
    </format>
    <format dxfId="179">
      <pivotArea dataOnly="0" labelOnly="1" outline="0" fieldPosition="0">
        <references count="2">
          <reference field="0" count="1" selected="0">
            <x v="4"/>
          </reference>
          <reference field="2" count="5">
            <x v="26"/>
            <x v="28"/>
            <x v="29"/>
            <x v="30"/>
            <x v="31"/>
          </reference>
        </references>
      </pivotArea>
    </format>
    <format dxfId="180">
      <pivotArea dataOnly="0" labelOnly="1" outline="0" fieldPosition="0">
        <references count="2">
          <reference field="0" count="1" selected="0">
            <x v="5"/>
          </reference>
          <reference field="2" count="1">
            <x v="0"/>
          </reference>
        </references>
      </pivotArea>
    </format>
    <format dxfId="181">
      <pivotArea dataOnly="0" labelOnly="1" outline="0" fieldPosition="0">
        <references count="2">
          <reference field="0" count="1" selected="0">
            <x v="6"/>
          </reference>
          <reference field="2" count="1">
            <x v="32"/>
          </reference>
        </references>
      </pivotArea>
    </format>
    <format dxfId="182">
      <pivotArea dataOnly="0" labelOnly="1" outline="0" fieldPosition="0">
        <references count="3">
          <reference field="0" count="1" selected="0">
            <x v="0"/>
          </reference>
          <reference field="2" count="1" selected="0">
            <x v="1"/>
          </reference>
          <reference field="4" count="1">
            <x v="62"/>
          </reference>
        </references>
      </pivotArea>
    </format>
    <format dxfId="183">
      <pivotArea dataOnly="0" labelOnly="1" outline="0" fieldPosition="0">
        <references count="3">
          <reference field="0" count="1" selected="0">
            <x v="0"/>
          </reference>
          <reference field="2" count="1" selected="0">
            <x v="2"/>
          </reference>
          <reference field="4" count="1">
            <x v="80"/>
          </reference>
        </references>
      </pivotArea>
    </format>
    <format dxfId="184">
      <pivotArea dataOnly="0" labelOnly="1" outline="0" fieldPosition="0">
        <references count="3">
          <reference field="0" count="1" selected="0">
            <x v="0"/>
          </reference>
          <reference field="2" count="1" selected="0">
            <x v="3"/>
          </reference>
          <reference field="4" count="1">
            <x v="77"/>
          </reference>
        </references>
      </pivotArea>
    </format>
    <format dxfId="185">
      <pivotArea dataOnly="0" labelOnly="1" outline="0" fieldPosition="0">
        <references count="3">
          <reference field="0" count="1" selected="0">
            <x v="0"/>
          </reference>
          <reference field="2" count="1" selected="0">
            <x v="4"/>
          </reference>
          <reference field="4" count="1">
            <x v="85"/>
          </reference>
        </references>
      </pivotArea>
    </format>
    <format dxfId="186">
      <pivotArea dataOnly="0" labelOnly="1" outline="0" fieldPosition="0">
        <references count="3">
          <reference field="0" count="1" selected="0">
            <x v="0"/>
          </reference>
          <reference field="2" count="1" selected="0">
            <x v="5"/>
          </reference>
          <reference field="4" count="1">
            <x v="107"/>
          </reference>
        </references>
      </pivotArea>
    </format>
    <format dxfId="187">
      <pivotArea dataOnly="0" labelOnly="1" outline="0" fieldPosition="0">
        <references count="3">
          <reference field="0" count="1" selected="0">
            <x v="0"/>
          </reference>
          <reference field="2" count="1" selected="0">
            <x v="6"/>
          </reference>
          <reference field="4" count="1">
            <x v="69"/>
          </reference>
        </references>
      </pivotArea>
    </format>
    <format dxfId="188">
      <pivotArea dataOnly="0" labelOnly="1" outline="0" fieldPosition="0">
        <references count="3">
          <reference field="0" count="1" selected="0">
            <x v="1"/>
          </reference>
          <reference field="2" count="1" selected="0">
            <x v="7"/>
          </reference>
          <reference field="4" count="1">
            <x v="59"/>
          </reference>
        </references>
      </pivotArea>
    </format>
    <format dxfId="189">
      <pivotArea dataOnly="0" labelOnly="1" outline="0" fieldPosition="0">
        <references count="3">
          <reference field="0" count="1" selected="0">
            <x v="1"/>
          </reference>
          <reference field="2" count="1" selected="0">
            <x v="8"/>
          </reference>
          <reference field="4" count="1">
            <x v="109"/>
          </reference>
        </references>
      </pivotArea>
    </format>
    <format dxfId="190">
      <pivotArea dataOnly="0" labelOnly="1" outline="0" fieldPosition="0">
        <references count="3">
          <reference field="0" count="1" selected="0">
            <x v="1"/>
          </reference>
          <reference field="2" count="1" selected="0">
            <x v="9"/>
          </reference>
          <reference field="4" count="1">
            <x v="112"/>
          </reference>
        </references>
      </pivotArea>
    </format>
    <format dxfId="191">
      <pivotArea dataOnly="0" labelOnly="1" outline="0" fieldPosition="0">
        <references count="3">
          <reference field="0" count="1" selected="0">
            <x v="1"/>
          </reference>
          <reference field="2" count="1" selected="0">
            <x v="10"/>
          </reference>
          <reference field="4" count="1">
            <x v="111"/>
          </reference>
        </references>
      </pivotArea>
    </format>
    <format dxfId="192">
      <pivotArea dataOnly="0" labelOnly="1" outline="0" fieldPosition="0">
        <references count="3">
          <reference field="0" count="1" selected="0">
            <x v="1"/>
          </reference>
          <reference field="2" count="1" selected="0">
            <x v="11"/>
          </reference>
          <reference field="4" count="1">
            <x v="57"/>
          </reference>
        </references>
      </pivotArea>
    </format>
    <format dxfId="193">
      <pivotArea dataOnly="0" labelOnly="1" outline="0" fieldPosition="0">
        <references count="3">
          <reference field="0" count="1" selected="0">
            <x v="1"/>
          </reference>
          <reference field="2" count="1" selected="0">
            <x v="12"/>
          </reference>
          <reference field="4" count="1">
            <x v="98"/>
          </reference>
        </references>
      </pivotArea>
    </format>
    <format dxfId="194">
      <pivotArea dataOnly="0" labelOnly="1" outline="0" fieldPosition="0">
        <references count="3">
          <reference field="0" count="1" selected="0">
            <x v="1"/>
          </reference>
          <reference field="2" count="1" selected="0">
            <x v="13"/>
          </reference>
          <reference field="4" count="1">
            <x v="91"/>
          </reference>
        </references>
      </pivotArea>
    </format>
    <format dxfId="195">
      <pivotArea dataOnly="0" labelOnly="1" outline="0" fieldPosition="0">
        <references count="3">
          <reference field="0" count="1" selected="0">
            <x v="1"/>
          </reference>
          <reference field="2" count="1" selected="0">
            <x v="14"/>
          </reference>
          <reference field="4" count="1">
            <x v="115"/>
          </reference>
        </references>
      </pivotArea>
    </format>
    <format dxfId="196">
      <pivotArea dataOnly="0" labelOnly="1" outline="0" fieldPosition="0">
        <references count="3">
          <reference field="0" count="1" selected="0">
            <x v="2"/>
          </reference>
          <reference field="2" count="1" selected="0">
            <x v="15"/>
          </reference>
          <reference field="4" count="1">
            <x v="72"/>
          </reference>
        </references>
      </pivotArea>
    </format>
    <format dxfId="197">
      <pivotArea dataOnly="0" labelOnly="1" outline="0" fieldPosition="0">
        <references count="3">
          <reference field="0" count="1" selected="0">
            <x v="2"/>
          </reference>
          <reference field="2" count="1" selected="0">
            <x v="16"/>
          </reference>
          <reference field="4" count="1">
            <x v="93"/>
          </reference>
        </references>
      </pivotArea>
    </format>
    <format dxfId="198">
      <pivotArea dataOnly="0" labelOnly="1" outline="0" fieldPosition="0">
        <references count="3">
          <reference field="0" count="1" selected="0">
            <x v="2"/>
          </reference>
          <reference field="2" count="1" selected="0">
            <x v="17"/>
          </reference>
          <reference field="4" count="1">
            <x v="95"/>
          </reference>
        </references>
      </pivotArea>
    </format>
    <format dxfId="199">
      <pivotArea dataOnly="0" labelOnly="1" outline="0" fieldPosition="0">
        <references count="3">
          <reference field="0" count="1" selected="0">
            <x v="2"/>
          </reference>
          <reference field="2" count="1" selected="0">
            <x v="18"/>
          </reference>
          <reference field="4" count="1">
            <x v="63"/>
          </reference>
        </references>
      </pivotArea>
    </format>
    <format dxfId="200">
      <pivotArea dataOnly="0" labelOnly="1" outline="0" fieldPosition="0">
        <references count="3">
          <reference field="0" count="1" selected="0">
            <x v="2"/>
          </reference>
          <reference field="2" count="1" selected="0">
            <x v="20"/>
          </reference>
          <reference field="4" count="1">
            <x v="58"/>
          </reference>
        </references>
      </pivotArea>
    </format>
    <format dxfId="201">
      <pivotArea dataOnly="0" labelOnly="1" outline="0" fieldPosition="0">
        <references count="3">
          <reference field="0" count="1" selected="0">
            <x v="3"/>
          </reference>
          <reference field="2" count="1" selected="0">
            <x v="21"/>
          </reference>
          <reference field="4" count="1">
            <x v="54"/>
          </reference>
        </references>
      </pivotArea>
    </format>
    <format dxfId="202">
      <pivotArea dataOnly="0" labelOnly="1" outline="0" fieldPosition="0">
        <references count="3">
          <reference field="0" count="1" selected="0">
            <x v="3"/>
          </reference>
          <reference field="2" count="1" selected="0">
            <x v="22"/>
          </reference>
          <reference field="4" count="1">
            <x v="102"/>
          </reference>
        </references>
      </pivotArea>
    </format>
    <format dxfId="203">
      <pivotArea dataOnly="0" labelOnly="1" outline="0" fieldPosition="0">
        <references count="3">
          <reference field="0" count="1" selected="0">
            <x v="3"/>
          </reference>
          <reference field="2" count="1" selected="0">
            <x v="23"/>
          </reference>
          <reference field="4" count="1">
            <x v="103"/>
          </reference>
        </references>
      </pivotArea>
    </format>
    <format dxfId="204">
      <pivotArea dataOnly="0" labelOnly="1" outline="0" fieldPosition="0">
        <references count="3">
          <reference field="0" count="1" selected="0">
            <x v="3"/>
          </reference>
          <reference field="2" count="1" selected="0">
            <x v="24"/>
          </reference>
          <reference field="4" count="1">
            <x v="104"/>
          </reference>
        </references>
      </pivotArea>
    </format>
    <format dxfId="205">
      <pivotArea dataOnly="0" labelOnly="1" outline="0" fieldPosition="0">
        <references count="3">
          <reference field="0" count="1" selected="0">
            <x v="3"/>
          </reference>
          <reference field="2" count="1" selected="0">
            <x v="25"/>
          </reference>
          <reference field="4" count="1">
            <x v="90"/>
          </reference>
        </references>
      </pivotArea>
    </format>
    <format dxfId="206">
      <pivotArea dataOnly="0" labelOnly="1" outline="0" fieldPosition="0">
        <references count="3">
          <reference field="0" count="1" selected="0">
            <x v="3"/>
          </reference>
          <reference field="2" count="1" selected="0">
            <x v="33"/>
          </reference>
          <reference field="4" count="1">
            <x v="106"/>
          </reference>
        </references>
      </pivotArea>
    </format>
    <format dxfId="207">
      <pivotArea dataOnly="0" labelOnly="1" outline="0" fieldPosition="0">
        <references count="3">
          <reference field="0" count="1" selected="0">
            <x v="4"/>
          </reference>
          <reference field="2" count="1" selected="0">
            <x v="26"/>
          </reference>
          <reference field="4" count="1">
            <x v="82"/>
          </reference>
        </references>
      </pivotArea>
    </format>
    <format dxfId="208">
      <pivotArea dataOnly="0" labelOnly="1" outline="0" fieldPosition="0">
        <references count="3">
          <reference field="0" count="1" selected="0">
            <x v="4"/>
          </reference>
          <reference field="2" count="1" selected="0">
            <x v="28"/>
          </reference>
          <reference field="4" count="1">
            <x v="73"/>
          </reference>
        </references>
      </pivotArea>
    </format>
    <format dxfId="209">
      <pivotArea dataOnly="0" labelOnly="1" outline="0" fieldPosition="0">
        <references count="3">
          <reference field="0" count="1" selected="0">
            <x v="4"/>
          </reference>
          <reference field="2" count="1" selected="0">
            <x v="29"/>
          </reference>
          <reference field="4" count="1">
            <x v="56"/>
          </reference>
        </references>
      </pivotArea>
    </format>
    <format dxfId="210">
      <pivotArea dataOnly="0" labelOnly="1" outline="0" fieldPosition="0">
        <references count="3">
          <reference field="0" count="1" selected="0">
            <x v="4"/>
          </reference>
          <reference field="2" count="1" selected="0">
            <x v="30"/>
          </reference>
          <reference field="4" count="1">
            <x v="74"/>
          </reference>
        </references>
      </pivotArea>
    </format>
    <format dxfId="211">
      <pivotArea dataOnly="0" labelOnly="1" outline="0" fieldPosition="0">
        <references count="3">
          <reference field="0" count="1" selected="0">
            <x v="4"/>
          </reference>
          <reference field="2" count="1" selected="0">
            <x v="31"/>
          </reference>
          <reference field="4" count="1">
            <x v="92"/>
          </reference>
        </references>
      </pivotArea>
    </format>
    <format dxfId="212">
      <pivotArea dataOnly="0" labelOnly="1" outline="0" fieldPosition="0">
        <references count="3">
          <reference field="0" count="1" selected="0">
            <x v="5"/>
          </reference>
          <reference field="2" count="1" selected="0">
            <x v="0"/>
          </reference>
          <reference field="4" count="1">
            <x v="48"/>
          </reference>
        </references>
      </pivotArea>
    </format>
    <format dxfId="213">
      <pivotArea dataOnly="0" labelOnly="1" outline="0" fieldPosition="0">
        <references count="3">
          <reference field="0" count="1" selected="0">
            <x v="6"/>
          </reference>
          <reference field="2" count="1" selected="0">
            <x v="32"/>
          </reference>
          <reference field="4" count="1">
            <x v="118"/>
          </reference>
        </references>
      </pivotArea>
    </format>
    <format dxfId="214">
      <pivotArea dataOnly="0" labelOnly="1" outline="0" fieldPosition="0">
        <references count="4">
          <reference field="0" count="1" selected="0">
            <x v="0"/>
          </reference>
          <reference field="2" count="1" selected="0">
            <x v="1"/>
          </reference>
          <reference field="4" count="1" selected="0">
            <x v="62"/>
          </reference>
          <reference field="5" count="7">
            <x v="5"/>
            <x v="49"/>
            <x v="50"/>
            <x v="105"/>
            <x v="106"/>
            <x v="107"/>
            <x v="186"/>
          </reference>
        </references>
      </pivotArea>
    </format>
    <format dxfId="215">
      <pivotArea dataOnly="0" labelOnly="1" outline="0" fieldPosition="0">
        <references count="4">
          <reference field="0" count="1" selected="0">
            <x v="0"/>
          </reference>
          <reference field="2" count="1" selected="0">
            <x v="2"/>
          </reference>
          <reference field="4" count="1" selected="0">
            <x v="80"/>
          </reference>
          <reference field="5" count="5">
            <x v="21"/>
            <x v="168"/>
            <x v="196"/>
            <x v="200"/>
            <x v="206"/>
          </reference>
        </references>
      </pivotArea>
    </format>
    <format dxfId="216">
      <pivotArea dataOnly="0" labelOnly="1" outline="0" fieldPosition="0">
        <references count="4">
          <reference field="0" count="1" selected="0">
            <x v="0"/>
          </reference>
          <reference field="2" count="1" selected="0">
            <x v="3"/>
          </reference>
          <reference field="4" count="1" selected="0">
            <x v="77"/>
          </reference>
          <reference field="5" count="4">
            <x v="31"/>
            <x v="45"/>
            <x v="159"/>
            <x v="160"/>
          </reference>
        </references>
      </pivotArea>
    </format>
    <format dxfId="217">
      <pivotArea dataOnly="0" labelOnly="1" outline="0" fieldPosition="0">
        <references count="4">
          <reference field="0" count="1" selected="0">
            <x v="0"/>
          </reference>
          <reference field="2" count="1" selected="0">
            <x v="4"/>
          </reference>
          <reference field="4" count="1" selected="0">
            <x v="85"/>
          </reference>
          <reference field="5" count="11">
            <x v="141"/>
            <x v="143"/>
            <x v="144"/>
            <x v="146"/>
            <x v="150"/>
            <x v="151"/>
            <x v="153"/>
            <x v="154"/>
            <x v="155"/>
            <x v="192"/>
            <x v="198"/>
          </reference>
        </references>
      </pivotArea>
    </format>
    <format dxfId="218">
      <pivotArea dataOnly="0" labelOnly="1" outline="0" fieldPosition="0">
        <references count="4">
          <reference field="0" count="1" selected="0">
            <x v="0"/>
          </reference>
          <reference field="2" count="1" selected="0">
            <x v="5"/>
          </reference>
          <reference field="4" count="1" selected="0">
            <x v="107"/>
          </reference>
          <reference field="5" count="1">
            <x v="171"/>
          </reference>
        </references>
      </pivotArea>
    </format>
    <format dxfId="219">
      <pivotArea dataOnly="0" labelOnly="1" outline="0" fieldPosition="0">
        <references count="4">
          <reference field="0" count="1" selected="0">
            <x v="0"/>
          </reference>
          <reference field="2" count="1" selected="0">
            <x v="6"/>
          </reference>
          <reference field="4" count="1" selected="0">
            <x v="69"/>
          </reference>
          <reference field="5" count="2">
            <x v="36"/>
            <x v="191"/>
          </reference>
        </references>
      </pivotArea>
    </format>
    <format dxfId="220">
      <pivotArea dataOnly="0" labelOnly="1" outline="0" fieldPosition="0">
        <references count="4">
          <reference field="0" count="1" selected="0">
            <x v="1"/>
          </reference>
          <reference field="2" count="1" selected="0">
            <x v="7"/>
          </reference>
          <reference field="4" count="1" selected="0">
            <x v="59"/>
          </reference>
          <reference field="5" count="4">
            <x v="97"/>
            <x v="98"/>
            <x v="172"/>
            <x v="190"/>
          </reference>
        </references>
      </pivotArea>
    </format>
    <format dxfId="221">
      <pivotArea dataOnly="0" labelOnly="1" outline="0" fieldPosition="0">
        <references count="4">
          <reference field="0" count="1" selected="0">
            <x v="1"/>
          </reference>
          <reference field="2" count="1" selected="0">
            <x v="8"/>
          </reference>
          <reference field="4" count="1" selected="0">
            <x v="109"/>
          </reference>
          <reference field="5" count="4">
            <x v="77"/>
            <x v="82"/>
            <x v="99"/>
            <x v="100"/>
          </reference>
        </references>
      </pivotArea>
    </format>
    <format dxfId="222">
      <pivotArea dataOnly="0" labelOnly="1" outline="0" fieldPosition="0">
        <references count="4">
          <reference field="0" count="1" selected="0">
            <x v="1"/>
          </reference>
          <reference field="2" count="1" selected="0">
            <x v="9"/>
          </reference>
          <reference field="4" count="1" selected="0">
            <x v="112"/>
          </reference>
          <reference field="5" count="1">
            <x v="83"/>
          </reference>
        </references>
      </pivotArea>
    </format>
    <format dxfId="223">
      <pivotArea dataOnly="0" labelOnly="1" outline="0" fieldPosition="0">
        <references count="4">
          <reference field="0" count="1" selected="0">
            <x v="1"/>
          </reference>
          <reference field="2" count="1" selected="0">
            <x v="10"/>
          </reference>
          <reference field="4" count="1" selected="0">
            <x v="111"/>
          </reference>
          <reference field="5" count="1">
            <x v="197"/>
          </reference>
        </references>
      </pivotArea>
    </format>
    <format dxfId="224">
      <pivotArea dataOnly="0" labelOnly="1" outline="0" fieldPosition="0">
        <references count="4">
          <reference field="0" count="1" selected="0">
            <x v="1"/>
          </reference>
          <reference field="2" count="1" selected="0">
            <x v="11"/>
          </reference>
          <reference field="4" count="1" selected="0">
            <x v="57"/>
          </reference>
          <reference field="5" count="1">
            <x v="30"/>
          </reference>
        </references>
      </pivotArea>
    </format>
    <format dxfId="225">
      <pivotArea dataOnly="0" labelOnly="1" outline="0" fieldPosition="0">
        <references count="4">
          <reference field="0" count="1" selected="0">
            <x v="1"/>
          </reference>
          <reference field="2" count="1" selected="0">
            <x v="12"/>
          </reference>
          <reference field="4" count="1" selected="0">
            <x v="98"/>
          </reference>
          <reference field="5" count="2">
            <x v="28"/>
            <x v="204"/>
          </reference>
        </references>
      </pivotArea>
    </format>
    <format dxfId="226">
      <pivotArea dataOnly="0" labelOnly="1" outline="0" fieldPosition="0">
        <references count="4">
          <reference field="0" count="1" selected="0">
            <x v="1"/>
          </reference>
          <reference field="2" count="1" selected="0">
            <x v="13"/>
          </reference>
          <reference field="4" count="1" selected="0">
            <x v="91"/>
          </reference>
          <reference field="5" count="2">
            <x v="147"/>
            <x v="158"/>
          </reference>
        </references>
      </pivotArea>
    </format>
    <format dxfId="227">
      <pivotArea dataOnly="0" labelOnly="1" outline="0" fieldPosition="0">
        <references count="4">
          <reference field="0" count="1" selected="0">
            <x v="1"/>
          </reference>
          <reference field="2" count="1" selected="0">
            <x v="14"/>
          </reference>
          <reference field="4" count="1" selected="0">
            <x v="115"/>
          </reference>
          <reference field="5" count="3">
            <x v="208"/>
            <x v="209"/>
            <x v="211"/>
          </reference>
        </references>
      </pivotArea>
    </format>
    <format dxfId="228">
      <pivotArea dataOnly="0" labelOnly="1" outline="0" fieldPosition="0">
        <references count="4">
          <reference field="0" count="1" selected="0">
            <x v="2"/>
          </reference>
          <reference field="2" count="1" selected="0">
            <x v="15"/>
          </reference>
          <reference field="4" count="1" selected="0">
            <x v="72"/>
          </reference>
          <reference field="5" count="9">
            <x v="1"/>
            <x v="18"/>
            <x v="44"/>
            <x v="111"/>
            <x v="115"/>
            <x v="116"/>
            <x v="117"/>
            <x v="188"/>
            <x v="199"/>
          </reference>
        </references>
      </pivotArea>
    </format>
    <format dxfId="229">
      <pivotArea dataOnly="0" labelOnly="1" outline="0" fieldPosition="0">
        <references count="4">
          <reference field="0" count="1" selected="0">
            <x v="2"/>
          </reference>
          <reference field="2" count="1" selected="0">
            <x v="16"/>
          </reference>
          <reference field="4" count="1" selected="0">
            <x v="93"/>
          </reference>
          <reference field="5" count="3">
            <x v="142"/>
            <x v="161"/>
            <x v="205"/>
          </reference>
        </references>
      </pivotArea>
    </format>
    <format dxfId="230">
      <pivotArea dataOnly="0" labelOnly="1" outline="0" fieldPosition="0">
        <references count="4">
          <reference field="0" count="1" selected="0">
            <x v="2"/>
          </reference>
          <reference field="2" count="1" selected="0">
            <x v="17"/>
          </reference>
          <reference field="4" count="1" selected="0">
            <x v="95"/>
          </reference>
          <reference field="5" count="1">
            <x v="2"/>
          </reference>
        </references>
      </pivotArea>
    </format>
    <format dxfId="231">
      <pivotArea dataOnly="0" labelOnly="1" outline="0" fieldPosition="0">
        <references count="4">
          <reference field="0" count="1" selected="0">
            <x v="2"/>
          </reference>
          <reference field="2" count="1" selected="0">
            <x v="18"/>
          </reference>
          <reference field="4" count="1" selected="0">
            <x v="63"/>
          </reference>
          <reference field="5" count="5">
            <x v="16"/>
            <x v="29"/>
            <x v="55"/>
            <x v="61"/>
            <x v="80"/>
          </reference>
        </references>
      </pivotArea>
    </format>
    <format dxfId="232">
      <pivotArea dataOnly="0" labelOnly="1" outline="0" fieldPosition="0">
        <references count="4">
          <reference field="0" count="1" selected="0">
            <x v="2"/>
          </reference>
          <reference field="2" count="1" selected="0">
            <x v="20"/>
          </reference>
          <reference field="4" count="1" selected="0">
            <x v="58"/>
          </reference>
          <reference field="5" count="1">
            <x v="169"/>
          </reference>
        </references>
      </pivotArea>
    </format>
    <format dxfId="233">
      <pivotArea dataOnly="0" labelOnly="1" outline="0" fieldPosition="0">
        <references count="4">
          <reference field="0" count="1" selected="0">
            <x v="3"/>
          </reference>
          <reference field="2" count="1" selected="0">
            <x v="21"/>
          </reference>
          <reference field="4" count="1" selected="0">
            <x v="54"/>
          </reference>
          <reference field="5" count="7">
            <x v="60"/>
            <x v="89"/>
            <x v="124"/>
            <x v="135"/>
            <x v="174"/>
            <x v="185"/>
            <x v="212"/>
          </reference>
        </references>
      </pivotArea>
    </format>
    <format dxfId="234">
      <pivotArea dataOnly="0" labelOnly="1" outline="0" fieldPosition="0">
        <references count="4">
          <reference field="0" count="1" selected="0">
            <x v="3"/>
          </reference>
          <reference field="2" count="1" selected="0">
            <x v="22"/>
          </reference>
          <reference field="4" count="1" selected="0">
            <x v="102"/>
          </reference>
          <reference field="5" count="1">
            <x v="127"/>
          </reference>
        </references>
      </pivotArea>
    </format>
    <format dxfId="235">
      <pivotArea dataOnly="0" labelOnly="1" outline="0" fieldPosition="0">
        <references count="4">
          <reference field="0" count="1" selected="0">
            <x v="3"/>
          </reference>
          <reference field="2" count="1" selected="0">
            <x v="23"/>
          </reference>
          <reference field="4" count="1" selected="0">
            <x v="103"/>
          </reference>
          <reference field="5" count="3">
            <x v="8"/>
            <x v="9"/>
            <x v="210"/>
          </reference>
        </references>
      </pivotArea>
    </format>
    <format dxfId="236">
      <pivotArea dataOnly="0" labelOnly="1" outline="0" fieldPosition="0">
        <references count="4">
          <reference field="0" count="1" selected="0">
            <x v="3"/>
          </reference>
          <reference field="2" count="1" selected="0">
            <x v="24"/>
          </reference>
          <reference field="4" count="1" selected="0">
            <x v="104"/>
          </reference>
          <reference field="5" count="1">
            <x v="10"/>
          </reference>
        </references>
      </pivotArea>
    </format>
    <format dxfId="237">
      <pivotArea dataOnly="0" labelOnly="1" outline="0" fieldPosition="0">
        <references count="4">
          <reference field="0" count="1" selected="0">
            <x v="3"/>
          </reference>
          <reference field="2" count="1" selected="0">
            <x v="25"/>
          </reference>
          <reference field="4" count="1" selected="0">
            <x v="90"/>
          </reference>
          <reference field="5" count="2">
            <x v="103"/>
            <x v="184"/>
          </reference>
        </references>
      </pivotArea>
    </format>
    <format dxfId="238">
      <pivotArea dataOnly="0" labelOnly="1" outline="0" fieldPosition="0">
        <references count="4">
          <reference field="0" count="1" selected="0">
            <x v="3"/>
          </reference>
          <reference field="2" count="1" selected="0">
            <x v="33"/>
          </reference>
          <reference field="4" count="1" selected="0">
            <x v="106"/>
          </reference>
          <reference field="5" count="1">
            <x v="207"/>
          </reference>
        </references>
      </pivotArea>
    </format>
    <format dxfId="239">
      <pivotArea dataOnly="0" labelOnly="1" outline="0" fieldPosition="0">
        <references count="4">
          <reference field="0" count="1" selected="0">
            <x v="4"/>
          </reference>
          <reference field="2" count="1" selected="0">
            <x v="26"/>
          </reference>
          <reference field="4" count="1" selected="0">
            <x v="82"/>
          </reference>
          <reference field="5" count="2">
            <x v="34"/>
            <x v="47"/>
          </reference>
        </references>
      </pivotArea>
    </format>
    <format dxfId="240">
      <pivotArea dataOnly="0" labelOnly="1" outline="0" fieldPosition="0">
        <references count="4">
          <reference field="0" count="1" selected="0">
            <x v="4"/>
          </reference>
          <reference field="2" count="1" selected="0">
            <x v="28"/>
          </reference>
          <reference field="4" count="1" selected="0">
            <x v="73"/>
          </reference>
          <reference field="5" count="1">
            <x v="64"/>
          </reference>
        </references>
      </pivotArea>
    </format>
    <format dxfId="241">
      <pivotArea dataOnly="0" labelOnly="1" outline="0" fieldPosition="0">
        <references count="4">
          <reference field="0" count="1" selected="0">
            <x v="4"/>
          </reference>
          <reference field="2" count="1" selected="0">
            <x v="29"/>
          </reference>
          <reference field="4" count="1" selected="0">
            <x v="56"/>
          </reference>
          <reference field="5" count="1">
            <x v="163"/>
          </reference>
        </references>
      </pivotArea>
    </format>
    <format dxfId="242">
      <pivotArea dataOnly="0" labelOnly="1" outline="0" fieldPosition="0">
        <references count="4">
          <reference field="0" count="1" selected="0">
            <x v="4"/>
          </reference>
          <reference field="2" count="1" selected="0">
            <x v="30"/>
          </reference>
          <reference field="4" count="1" selected="0">
            <x v="74"/>
          </reference>
          <reference field="5" count="1">
            <x v="38"/>
          </reference>
        </references>
      </pivotArea>
    </format>
    <format dxfId="243">
      <pivotArea dataOnly="0" labelOnly="1" outline="0" fieldPosition="0">
        <references count="4">
          <reference field="0" count="1" selected="0">
            <x v="4"/>
          </reference>
          <reference field="2" count="1" selected="0">
            <x v="31"/>
          </reference>
          <reference field="4" count="1" selected="0">
            <x v="92"/>
          </reference>
          <reference field="5" count="1">
            <x v="149"/>
          </reference>
        </references>
      </pivotArea>
    </format>
    <format dxfId="244">
      <pivotArea dataOnly="0" labelOnly="1" outline="0" fieldPosition="0">
        <references count="4">
          <reference field="0" count="1" selected="0">
            <x v="5"/>
          </reference>
          <reference field="2" count="1" selected="0">
            <x v="0"/>
          </reference>
          <reference field="4" count="1" selected="0">
            <x v="48"/>
          </reference>
          <reference field="5" count="1">
            <x v="202"/>
          </reference>
        </references>
      </pivotArea>
    </format>
    <format dxfId="245">
      <pivotArea dataOnly="0" labelOnly="1" outline="0" fieldPosition="0">
        <references count="4">
          <reference field="0" count="1" selected="0">
            <x v="6"/>
          </reference>
          <reference field="2" count="1" selected="0">
            <x v="32"/>
          </reference>
          <reference field="4" count="1" selected="0">
            <x v="118"/>
          </reference>
          <reference field="5" count="1">
            <x v="67"/>
          </reference>
        </references>
      </pivotArea>
    </format>
    <format dxfId="246">
      <pivotArea dataOnly="0" labelOnly="1" outline="0" fieldPosition="0">
        <references count="5">
          <reference field="0" count="1" selected="0">
            <x v="0"/>
          </reference>
          <reference field="2" count="1" selected="0">
            <x v="1"/>
          </reference>
          <reference field="4" count="1" selected="0">
            <x v="62"/>
          </reference>
          <reference field="5" count="1" selected="0">
            <x v="5"/>
          </reference>
          <reference field="25" count="2">
            <x v="3"/>
            <x v="12"/>
          </reference>
        </references>
      </pivotArea>
    </format>
    <format dxfId="247">
      <pivotArea dataOnly="0" labelOnly="1" outline="0" fieldPosition="0">
        <references count="5">
          <reference field="0" count="1" selected="0">
            <x v="0"/>
          </reference>
          <reference field="2" count="1" selected="0">
            <x v="1"/>
          </reference>
          <reference field="4" count="1" selected="0">
            <x v="62"/>
          </reference>
          <reference field="5" count="1" selected="0">
            <x v="49"/>
          </reference>
          <reference field="25" count="1">
            <x v="0"/>
          </reference>
        </references>
      </pivotArea>
    </format>
    <format dxfId="248">
      <pivotArea dataOnly="0" labelOnly="1" outline="0" fieldPosition="0">
        <references count="5">
          <reference field="0" count="1" selected="0">
            <x v="0"/>
          </reference>
          <reference field="2" count="1" selected="0">
            <x v="1"/>
          </reference>
          <reference field="4" count="1" selected="0">
            <x v="62"/>
          </reference>
          <reference field="5" count="1" selected="0">
            <x v="50"/>
          </reference>
          <reference field="25" count="1">
            <x v="12"/>
          </reference>
        </references>
      </pivotArea>
    </format>
    <format dxfId="249">
      <pivotArea dataOnly="0" labelOnly="1" outline="0" fieldPosition="0">
        <references count="5">
          <reference field="0" count="1" selected="0">
            <x v="0"/>
          </reference>
          <reference field="2" count="1" selected="0">
            <x v="1"/>
          </reference>
          <reference field="4" count="1" selected="0">
            <x v="62"/>
          </reference>
          <reference field="5" count="1" selected="0">
            <x v="105"/>
          </reference>
          <reference field="25" count="1">
            <x v="1"/>
          </reference>
        </references>
      </pivotArea>
    </format>
    <format dxfId="250">
      <pivotArea dataOnly="0" labelOnly="1" outline="0" fieldPosition="0">
        <references count="5">
          <reference field="0" count="1" selected="0">
            <x v="0"/>
          </reference>
          <reference field="2" count="1" selected="0">
            <x v="2"/>
          </reference>
          <reference field="4" count="1" selected="0">
            <x v="80"/>
          </reference>
          <reference field="5" count="1" selected="0">
            <x v="21"/>
          </reference>
          <reference field="25" count="2">
            <x v="9"/>
            <x v="12"/>
          </reference>
        </references>
      </pivotArea>
    </format>
    <format dxfId="251">
      <pivotArea dataOnly="0" labelOnly="1" outline="0" fieldPosition="0">
        <references count="5">
          <reference field="0" count="1" selected="0">
            <x v="0"/>
          </reference>
          <reference field="2" count="1" selected="0">
            <x v="2"/>
          </reference>
          <reference field="4" count="1" selected="0">
            <x v="80"/>
          </reference>
          <reference field="5" count="1" selected="0">
            <x v="168"/>
          </reference>
          <reference field="25" count="2">
            <x v="9"/>
            <x v="12"/>
          </reference>
        </references>
      </pivotArea>
    </format>
    <format dxfId="252">
      <pivotArea dataOnly="0" labelOnly="1" outline="0" fieldPosition="0">
        <references count="5">
          <reference field="0" count="1" selected="0">
            <x v="0"/>
          </reference>
          <reference field="2" count="1" selected="0">
            <x v="2"/>
          </reference>
          <reference field="4" count="1" selected="0">
            <x v="80"/>
          </reference>
          <reference field="5" count="1" selected="0">
            <x v="196"/>
          </reference>
          <reference field="25" count="1">
            <x v="11"/>
          </reference>
        </references>
      </pivotArea>
    </format>
    <format dxfId="253">
      <pivotArea dataOnly="0" labelOnly="1" outline="0" fieldPosition="0">
        <references count="5">
          <reference field="0" count="1" selected="0">
            <x v="0"/>
          </reference>
          <reference field="2" count="1" selected="0">
            <x v="2"/>
          </reference>
          <reference field="4" count="1" selected="0">
            <x v="80"/>
          </reference>
          <reference field="5" count="1" selected="0">
            <x v="200"/>
          </reference>
          <reference field="25" count="2">
            <x v="9"/>
            <x v="12"/>
          </reference>
        </references>
      </pivotArea>
    </format>
    <format dxfId="254">
      <pivotArea dataOnly="0" labelOnly="1" outline="0" fieldPosition="0">
        <references count="5">
          <reference field="0" count="1" selected="0">
            <x v="0"/>
          </reference>
          <reference field="2" count="1" selected="0">
            <x v="2"/>
          </reference>
          <reference field="4" count="1" selected="0">
            <x v="80"/>
          </reference>
          <reference field="5" count="1" selected="0">
            <x v="206"/>
          </reference>
          <reference field="25" count="1">
            <x v="11"/>
          </reference>
        </references>
      </pivotArea>
    </format>
    <format dxfId="255">
      <pivotArea dataOnly="0" labelOnly="1" outline="0" fieldPosition="0">
        <references count="5">
          <reference field="0" count="1" selected="0">
            <x v="0"/>
          </reference>
          <reference field="2" count="1" selected="0">
            <x v="3"/>
          </reference>
          <reference field="4" count="1" selected="0">
            <x v="77"/>
          </reference>
          <reference field="5" count="1" selected="0">
            <x v="45"/>
          </reference>
          <reference field="25" count="1">
            <x v="12"/>
          </reference>
        </references>
      </pivotArea>
    </format>
    <format dxfId="256">
      <pivotArea dataOnly="0" labelOnly="1" outline="0" fieldPosition="0">
        <references count="5">
          <reference field="0" count="1" selected="0">
            <x v="0"/>
          </reference>
          <reference field="2" count="1" selected="0">
            <x v="3"/>
          </reference>
          <reference field="4" count="1" selected="0">
            <x v="77"/>
          </reference>
          <reference field="5" count="1" selected="0">
            <x v="159"/>
          </reference>
          <reference field="25" count="1">
            <x v="1"/>
          </reference>
        </references>
      </pivotArea>
    </format>
    <format dxfId="257">
      <pivotArea dataOnly="0" labelOnly="1" outline="0" fieldPosition="0">
        <references count="5">
          <reference field="0" count="1" selected="0">
            <x v="0"/>
          </reference>
          <reference field="2" count="1" selected="0">
            <x v="4"/>
          </reference>
          <reference field="4" count="1" selected="0">
            <x v="85"/>
          </reference>
          <reference field="5" count="1" selected="0">
            <x v="141"/>
          </reference>
          <reference field="25" count="1">
            <x v="9"/>
          </reference>
        </references>
      </pivotArea>
    </format>
    <format dxfId="258">
      <pivotArea dataOnly="0" labelOnly="1" outline="0" fieldPosition="0">
        <references count="5">
          <reference field="0" count="1" selected="0">
            <x v="0"/>
          </reference>
          <reference field="2" count="1" selected="0">
            <x v="4"/>
          </reference>
          <reference field="4" count="1" selected="0">
            <x v="85"/>
          </reference>
          <reference field="5" count="1" selected="0">
            <x v="150"/>
          </reference>
          <reference field="25" count="1">
            <x v="1"/>
          </reference>
        </references>
      </pivotArea>
    </format>
    <format dxfId="259">
      <pivotArea dataOnly="0" labelOnly="1" outline="0" fieldPosition="0">
        <references count="5">
          <reference field="0" count="1" selected="0">
            <x v="0"/>
          </reference>
          <reference field="2" count="1" selected="0">
            <x v="5"/>
          </reference>
          <reference field="4" count="1" selected="0">
            <x v="107"/>
          </reference>
          <reference field="5" count="1" selected="0">
            <x v="171"/>
          </reference>
          <reference field="25" count="1">
            <x v="10"/>
          </reference>
        </references>
      </pivotArea>
    </format>
    <format dxfId="260">
      <pivotArea dataOnly="0" labelOnly="1" outline="0" fieldPosition="0">
        <references count="5">
          <reference field="0" count="1" selected="0">
            <x v="0"/>
          </reference>
          <reference field="2" count="1" selected="0">
            <x v="6"/>
          </reference>
          <reference field="4" count="1" selected="0">
            <x v="69"/>
          </reference>
          <reference field="5" count="1" selected="0">
            <x v="36"/>
          </reference>
          <reference field="25" count="1">
            <x v="3"/>
          </reference>
        </references>
      </pivotArea>
    </format>
    <format dxfId="261">
      <pivotArea dataOnly="0" labelOnly="1" outline="0" fieldPosition="0">
        <references count="5">
          <reference field="0" count="1" selected="0">
            <x v="0"/>
          </reference>
          <reference field="2" count="1" selected="0">
            <x v="6"/>
          </reference>
          <reference field="4" count="1" selected="0">
            <x v="69"/>
          </reference>
          <reference field="5" count="1" selected="0">
            <x v="191"/>
          </reference>
          <reference field="25" count="1">
            <x v="6"/>
          </reference>
        </references>
      </pivotArea>
    </format>
    <format dxfId="262">
      <pivotArea dataOnly="0" labelOnly="1" outline="0" fieldPosition="0">
        <references count="5">
          <reference field="0" count="1" selected="0">
            <x v="1"/>
          </reference>
          <reference field="2" count="1" selected="0">
            <x v="7"/>
          </reference>
          <reference field="4" count="1" selected="0">
            <x v="59"/>
          </reference>
          <reference field="5" count="1" selected="0">
            <x v="97"/>
          </reference>
          <reference field="25" count="1">
            <x v="12"/>
          </reference>
        </references>
      </pivotArea>
    </format>
    <format dxfId="263">
      <pivotArea dataOnly="0" labelOnly="1" outline="0" fieldPosition="0">
        <references count="5">
          <reference field="0" count="1" selected="0">
            <x v="1"/>
          </reference>
          <reference field="2" count="1" selected="0">
            <x v="7"/>
          </reference>
          <reference field="4" count="1" selected="0">
            <x v="59"/>
          </reference>
          <reference field="5" count="1" selected="0">
            <x v="98"/>
          </reference>
          <reference field="25" count="1">
            <x v="0"/>
          </reference>
        </references>
      </pivotArea>
    </format>
    <format dxfId="264">
      <pivotArea dataOnly="0" labelOnly="1" outline="0" fieldPosition="0">
        <references count="5">
          <reference field="0" count="1" selected="0">
            <x v="1"/>
          </reference>
          <reference field="2" count="1" selected="0">
            <x v="7"/>
          </reference>
          <reference field="4" count="1" selected="0">
            <x v="59"/>
          </reference>
          <reference field="5" count="1" selected="0">
            <x v="172"/>
          </reference>
          <reference field="25" count="1">
            <x v="12"/>
          </reference>
        </references>
      </pivotArea>
    </format>
    <format dxfId="265">
      <pivotArea dataOnly="0" labelOnly="1" outline="0" fieldPosition="0">
        <references count="5">
          <reference field="0" count="1" selected="0">
            <x v="1"/>
          </reference>
          <reference field="2" count="1" selected="0">
            <x v="7"/>
          </reference>
          <reference field="4" count="1" selected="0">
            <x v="59"/>
          </reference>
          <reference field="5" count="1" selected="0">
            <x v="190"/>
          </reference>
          <reference field="25" count="1">
            <x v="1"/>
          </reference>
        </references>
      </pivotArea>
    </format>
    <format dxfId="266">
      <pivotArea dataOnly="0" labelOnly="1" outline="0" fieldPosition="0">
        <references count="5">
          <reference field="0" count="1" selected="0">
            <x v="1"/>
          </reference>
          <reference field="2" count="1" selected="0">
            <x v="8"/>
          </reference>
          <reference field="4" count="1" selected="0">
            <x v="109"/>
          </reference>
          <reference field="5" count="1" selected="0">
            <x v="77"/>
          </reference>
          <reference field="25" count="1">
            <x v="11"/>
          </reference>
        </references>
      </pivotArea>
    </format>
    <format dxfId="267">
      <pivotArea dataOnly="0" labelOnly="1" outline="0" fieldPosition="0">
        <references count="5">
          <reference field="0" count="1" selected="0">
            <x v="1"/>
          </reference>
          <reference field="2" count="1" selected="0">
            <x v="8"/>
          </reference>
          <reference field="4" count="1" selected="0">
            <x v="109"/>
          </reference>
          <reference field="5" count="1" selected="0">
            <x v="82"/>
          </reference>
          <reference field="25" count="1">
            <x v="1"/>
          </reference>
        </references>
      </pivotArea>
    </format>
    <format dxfId="268">
      <pivotArea dataOnly="0" labelOnly="1" outline="0" fieldPosition="0">
        <references count="5">
          <reference field="0" count="1" selected="0">
            <x v="1"/>
          </reference>
          <reference field="2" count="1" selected="0">
            <x v="10"/>
          </reference>
          <reference field="4" count="1" selected="0">
            <x v="111"/>
          </reference>
          <reference field="5" count="1" selected="0">
            <x v="197"/>
          </reference>
          <reference field="25" count="1">
            <x v="12"/>
          </reference>
        </references>
      </pivotArea>
    </format>
    <format dxfId="269">
      <pivotArea dataOnly="0" labelOnly="1" outline="0" fieldPosition="0">
        <references count="5">
          <reference field="0" count="1" selected="0">
            <x v="1"/>
          </reference>
          <reference field="2" count="1" selected="0">
            <x v="12"/>
          </reference>
          <reference field="4" count="1" selected="0">
            <x v="98"/>
          </reference>
          <reference field="5" count="1" selected="0">
            <x v="28"/>
          </reference>
          <reference field="25" count="1">
            <x v="3"/>
          </reference>
        </references>
      </pivotArea>
    </format>
    <format dxfId="270">
      <pivotArea dataOnly="0" labelOnly="1" outline="0" fieldPosition="0">
        <references count="5">
          <reference field="0" count="1" selected="0">
            <x v="1"/>
          </reference>
          <reference field="2" count="1" selected="0">
            <x v="12"/>
          </reference>
          <reference field="4" count="1" selected="0">
            <x v="98"/>
          </reference>
          <reference field="5" count="1" selected="0">
            <x v="204"/>
          </reference>
          <reference field="25" count="1">
            <x v="12"/>
          </reference>
        </references>
      </pivotArea>
    </format>
    <format dxfId="271">
      <pivotArea dataOnly="0" labelOnly="1" outline="0" fieldPosition="0">
        <references count="5">
          <reference field="0" count="1" selected="0">
            <x v="1"/>
          </reference>
          <reference field="2" count="1" selected="0">
            <x v="13"/>
          </reference>
          <reference field="4" count="1" selected="0">
            <x v="91"/>
          </reference>
          <reference field="5" count="1" selected="0">
            <x v="147"/>
          </reference>
          <reference field="25" count="1">
            <x v="3"/>
          </reference>
        </references>
      </pivotArea>
    </format>
    <format dxfId="272">
      <pivotArea dataOnly="0" labelOnly="1" outline="0" fieldPosition="0">
        <references count="5">
          <reference field="0" count="1" selected="0">
            <x v="1"/>
          </reference>
          <reference field="2" count="1" selected="0">
            <x v="13"/>
          </reference>
          <reference field="4" count="1" selected="0">
            <x v="91"/>
          </reference>
          <reference field="5" count="1" selected="0">
            <x v="158"/>
          </reference>
          <reference field="25" count="1">
            <x v="1"/>
          </reference>
        </references>
      </pivotArea>
    </format>
    <format dxfId="273">
      <pivotArea dataOnly="0" labelOnly="1" outline="0" fieldPosition="0">
        <references count="5">
          <reference field="0" count="1" selected="0">
            <x v="1"/>
          </reference>
          <reference field="2" count="1" selected="0">
            <x v="14"/>
          </reference>
          <reference field="4" count="1" selected="0">
            <x v="115"/>
          </reference>
          <reference field="5" count="1" selected="0">
            <x v="208"/>
          </reference>
          <reference field="25" count="1">
            <x v="11"/>
          </reference>
        </references>
      </pivotArea>
    </format>
    <format dxfId="274">
      <pivotArea dataOnly="0" labelOnly="1" outline="0" fieldPosition="0">
        <references count="5">
          <reference field="0" count="1" selected="0">
            <x v="1"/>
          </reference>
          <reference field="2" count="1" selected="0">
            <x v="14"/>
          </reference>
          <reference field="4" count="1" selected="0">
            <x v="115"/>
          </reference>
          <reference field="5" count="1" selected="0">
            <x v="211"/>
          </reference>
          <reference field="25" count="1">
            <x v="1"/>
          </reference>
        </references>
      </pivotArea>
    </format>
    <format dxfId="275">
      <pivotArea dataOnly="0" labelOnly="1" outline="0" fieldPosition="0">
        <references count="5">
          <reference field="0" count="1" selected="0">
            <x v="2"/>
          </reference>
          <reference field="2" count="1" selected="0">
            <x v="15"/>
          </reference>
          <reference field="4" count="1" selected="0">
            <x v="72"/>
          </reference>
          <reference field="5" count="1" selected="0">
            <x v="1"/>
          </reference>
          <reference field="25" count="1">
            <x v="11"/>
          </reference>
        </references>
      </pivotArea>
    </format>
    <format dxfId="276">
      <pivotArea dataOnly="0" labelOnly="1" outline="0" fieldPosition="0">
        <references count="5">
          <reference field="0" count="1" selected="0">
            <x v="2"/>
          </reference>
          <reference field="2" count="1" selected="0">
            <x v="15"/>
          </reference>
          <reference field="4" count="1" selected="0">
            <x v="72"/>
          </reference>
          <reference field="5" count="1" selected="0">
            <x v="111"/>
          </reference>
          <reference field="25" count="1">
            <x v="1"/>
          </reference>
        </references>
      </pivotArea>
    </format>
    <format dxfId="277">
      <pivotArea dataOnly="0" labelOnly="1" outline="0" fieldPosition="0">
        <references count="5">
          <reference field="0" count="1" selected="0">
            <x v="2"/>
          </reference>
          <reference field="2" count="1" selected="0">
            <x v="16"/>
          </reference>
          <reference field="4" count="1" selected="0">
            <x v="93"/>
          </reference>
          <reference field="5" count="1" selected="0">
            <x v="142"/>
          </reference>
          <reference field="25" count="1">
            <x v="9"/>
          </reference>
        </references>
      </pivotArea>
    </format>
    <format dxfId="278">
      <pivotArea dataOnly="0" labelOnly="1" outline="0" fieldPosition="0">
        <references count="5">
          <reference field="0" count="1" selected="0">
            <x v="2"/>
          </reference>
          <reference field="2" count="1" selected="0">
            <x v="16"/>
          </reference>
          <reference field="4" count="1" selected="0">
            <x v="93"/>
          </reference>
          <reference field="5" count="1" selected="0">
            <x v="161"/>
          </reference>
          <reference field="25" count="1">
            <x v="1"/>
          </reference>
        </references>
      </pivotArea>
    </format>
    <format dxfId="279">
      <pivotArea dataOnly="0" labelOnly="1" outline="0" fieldPosition="0">
        <references count="5">
          <reference field="0" count="1" selected="0">
            <x v="2"/>
          </reference>
          <reference field="2" count="1" selected="0">
            <x v="17"/>
          </reference>
          <reference field="4" count="1" selected="0">
            <x v="95"/>
          </reference>
          <reference field="5" count="1" selected="0">
            <x v="2"/>
          </reference>
          <reference field="25" count="1">
            <x v="11"/>
          </reference>
        </references>
      </pivotArea>
    </format>
    <format dxfId="280">
      <pivotArea dataOnly="0" labelOnly="1" outline="0" fieldPosition="0">
        <references count="5">
          <reference field="0" count="1" selected="0">
            <x v="2"/>
          </reference>
          <reference field="2" count="1" selected="0">
            <x v="18"/>
          </reference>
          <reference field="4" count="1" selected="0">
            <x v="63"/>
          </reference>
          <reference field="5" count="1" selected="0">
            <x v="16"/>
          </reference>
          <reference field="25" count="1">
            <x v="1"/>
          </reference>
        </references>
      </pivotArea>
    </format>
    <format dxfId="281">
      <pivotArea dataOnly="0" labelOnly="1" outline="0" fieldPosition="0">
        <references count="5">
          <reference field="0" count="1" selected="0">
            <x v="2"/>
          </reference>
          <reference field="2" count="1" selected="0">
            <x v="18"/>
          </reference>
          <reference field="4" count="1" selected="0">
            <x v="63"/>
          </reference>
          <reference field="5" count="1" selected="0">
            <x v="55"/>
          </reference>
          <reference field="25" count="1">
            <x v="11"/>
          </reference>
        </references>
      </pivotArea>
    </format>
    <format dxfId="282">
      <pivotArea dataOnly="0" labelOnly="1" outline="0" fieldPosition="0">
        <references count="5">
          <reference field="0" count="1" selected="0">
            <x v="2"/>
          </reference>
          <reference field="2" count="1" selected="0">
            <x v="18"/>
          </reference>
          <reference field="4" count="1" selected="0">
            <x v="63"/>
          </reference>
          <reference field="5" count="1" selected="0">
            <x v="80"/>
          </reference>
          <reference field="25" count="1">
            <x v="1"/>
          </reference>
        </references>
      </pivotArea>
    </format>
    <format dxfId="283">
      <pivotArea dataOnly="0" labelOnly="1" outline="0" fieldPosition="0">
        <references count="5">
          <reference field="0" count="1" selected="0">
            <x v="2"/>
          </reference>
          <reference field="2" count="1" selected="0">
            <x v="20"/>
          </reference>
          <reference field="4" count="1" selected="0">
            <x v="58"/>
          </reference>
          <reference field="5" count="1" selected="0">
            <x v="169"/>
          </reference>
          <reference field="25" count="1">
            <x v="12"/>
          </reference>
        </references>
      </pivotArea>
    </format>
    <format dxfId="284">
      <pivotArea dataOnly="0" labelOnly="1" outline="0" fieldPosition="0">
        <references count="5">
          <reference field="0" count="1" selected="0">
            <x v="3"/>
          </reference>
          <reference field="2" count="1" selected="0">
            <x v="21"/>
          </reference>
          <reference field="4" count="1" selected="0">
            <x v="54"/>
          </reference>
          <reference field="5" count="1" selected="0">
            <x v="89"/>
          </reference>
          <reference field="25" count="1">
            <x v="1"/>
          </reference>
        </references>
      </pivotArea>
    </format>
    <format dxfId="285">
      <pivotArea dataOnly="0" labelOnly="1" outline="0" fieldPosition="0">
        <references count="5">
          <reference field="0" count="1" selected="0">
            <x v="3"/>
          </reference>
          <reference field="2" count="1" selected="0">
            <x v="21"/>
          </reference>
          <reference field="4" count="1" selected="0">
            <x v="54"/>
          </reference>
          <reference field="5" count="1" selected="0">
            <x v="124"/>
          </reference>
          <reference field="25" count="1">
            <x v="3"/>
          </reference>
        </references>
      </pivotArea>
    </format>
    <format dxfId="286">
      <pivotArea dataOnly="0" labelOnly="1" outline="0" fieldPosition="0">
        <references count="5">
          <reference field="0" count="1" selected="0">
            <x v="3"/>
          </reference>
          <reference field="2" count="1" selected="0">
            <x v="21"/>
          </reference>
          <reference field="4" count="1" selected="0">
            <x v="54"/>
          </reference>
          <reference field="5" count="1" selected="0">
            <x v="135"/>
          </reference>
          <reference field="25" count="1">
            <x v="1"/>
          </reference>
        </references>
      </pivotArea>
    </format>
    <format dxfId="287">
      <pivotArea dataOnly="0" labelOnly="1" outline="0" fieldPosition="0">
        <references count="5">
          <reference field="0" count="1" selected="0">
            <x v="3"/>
          </reference>
          <reference field="2" count="1" selected="0">
            <x v="23"/>
          </reference>
          <reference field="4" count="1" selected="0">
            <x v="103"/>
          </reference>
          <reference field="5" count="1" selected="0">
            <x v="210"/>
          </reference>
          <reference field="25" count="1">
            <x v="11"/>
          </reference>
        </references>
      </pivotArea>
    </format>
    <format dxfId="288">
      <pivotArea dataOnly="0" labelOnly="1" outline="0" fieldPosition="0">
        <references count="5">
          <reference field="0" count="1" selected="0">
            <x v="3"/>
          </reference>
          <reference field="2" count="1" selected="0">
            <x v="24"/>
          </reference>
          <reference field="4" count="1" selected="0">
            <x v="104"/>
          </reference>
          <reference field="5" count="1" selected="0">
            <x v="10"/>
          </reference>
          <reference field="25" count="1">
            <x v="1"/>
          </reference>
        </references>
      </pivotArea>
    </format>
    <format dxfId="289">
      <pivotArea dataOnly="0" labelOnly="1" outline="0" fieldPosition="0">
        <references count="5">
          <reference field="0" count="1" selected="0">
            <x v="3"/>
          </reference>
          <reference field="2" count="1" selected="0">
            <x v="33"/>
          </reference>
          <reference field="4" count="1" selected="0">
            <x v="106"/>
          </reference>
          <reference field="5" count="1" selected="0">
            <x v="207"/>
          </reference>
          <reference field="25" count="1">
            <x v="11"/>
          </reference>
        </references>
      </pivotArea>
    </format>
    <format dxfId="290">
      <pivotArea dataOnly="0" labelOnly="1" outline="0" fieldPosition="0">
        <references count="5">
          <reference field="0" count="1" selected="0">
            <x v="4"/>
          </reference>
          <reference field="2" count="1" selected="0">
            <x v="26"/>
          </reference>
          <reference field="4" count="1" selected="0">
            <x v="82"/>
          </reference>
          <reference field="5" count="1" selected="0">
            <x v="34"/>
          </reference>
          <reference field="25" count="1">
            <x v="12"/>
          </reference>
        </references>
      </pivotArea>
    </format>
    <format dxfId="291">
      <pivotArea dataOnly="0" labelOnly="1" outline="0" fieldPosition="0">
        <references count="5">
          <reference field="0" count="1" selected="0">
            <x v="4"/>
          </reference>
          <reference field="2" count="1" selected="0">
            <x v="28"/>
          </reference>
          <reference field="4" count="1" selected="0">
            <x v="73"/>
          </reference>
          <reference field="5" count="1" selected="0">
            <x v="64"/>
          </reference>
          <reference field="25" count="2">
            <x v="3"/>
            <x v="12"/>
          </reference>
        </references>
      </pivotArea>
    </format>
    <format dxfId="292">
      <pivotArea dataOnly="0" labelOnly="1" outline="0" fieldPosition="0">
        <references count="5">
          <reference field="0" count="1" selected="0">
            <x v="4"/>
          </reference>
          <reference field="2" count="1" selected="0">
            <x v="30"/>
          </reference>
          <reference field="4" count="1" selected="0">
            <x v="74"/>
          </reference>
          <reference field="5" count="1" selected="0">
            <x v="38"/>
          </reference>
          <reference field="25" count="2">
            <x v="1"/>
            <x v="12"/>
          </reference>
        </references>
      </pivotArea>
    </format>
    <format dxfId="293">
      <pivotArea dataOnly="0" labelOnly="1" outline="0" fieldPosition="0">
        <references count="5">
          <reference field="0" count="1" selected="0">
            <x v="4"/>
          </reference>
          <reference field="2" count="1" selected="0">
            <x v="31"/>
          </reference>
          <reference field="4" count="1" selected="0">
            <x v="92"/>
          </reference>
          <reference field="5" count="1" selected="0">
            <x v="149"/>
          </reference>
          <reference field="25" count="1">
            <x v="1"/>
          </reference>
        </references>
      </pivotArea>
    </format>
    <format dxfId="294">
      <pivotArea dataOnly="0" labelOnly="1" outline="0" fieldPosition="0">
        <references count="5">
          <reference field="0" count="1" selected="0">
            <x v="6"/>
          </reference>
          <reference field="2" count="1" selected="0">
            <x v="32"/>
          </reference>
          <reference field="4" count="1" selected="0">
            <x v="118"/>
          </reference>
          <reference field="5" count="1" selected="0">
            <x v="67"/>
          </reference>
          <reference field="25" count="1">
            <x v="4"/>
          </reference>
        </references>
      </pivotArea>
    </format>
    <format dxfId="295">
      <pivotArea dataOnly="0" labelOnly="1" outline="0" fieldPosition="0">
        <references count="6">
          <reference field="0" count="1" selected="0">
            <x v="0"/>
          </reference>
          <reference field="2" count="1" selected="0">
            <x v="1"/>
          </reference>
          <reference field="4" count="1" selected="0">
            <x v="62"/>
          </reference>
          <reference field="5" count="1" selected="0">
            <x v="5"/>
          </reference>
          <reference field="11" count="1">
            <x v="17"/>
          </reference>
          <reference field="25" count="1" selected="0">
            <x v="3"/>
          </reference>
        </references>
      </pivotArea>
    </format>
    <format dxfId="296">
      <pivotArea dataOnly="0" labelOnly="1" outline="0" fieldPosition="0">
        <references count="6">
          <reference field="0" count="1" selected="0">
            <x v="0"/>
          </reference>
          <reference field="2" count="1" selected="0">
            <x v="2"/>
          </reference>
          <reference field="4" count="1" selected="0">
            <x v="80"/>
          </reference>
          <reference field="5" count="1" selected="0">
            <x v="196"/>
          </reference>
          <reference field="11" count="1">
            <x v="6"/>
          </reference>
          <reference field="25" count="1" selected="0">
            <x v="11"/>
          </reference>
        </references>
      </pivotArea>
    </format>
    <format dxfId="297">
      <pivotArea dataOnly="0" labelOnly="1" outline="0" fieldPosition="0">
        <references count="6">
          <reference field="0" count="1" selected="0">
            <x v="0"/>
          </reference>
          <reference field="2" count="1" selected="0">
            <x v="2"/>
          </reference>
          <reference field="4" count="1" selected="0">
            <x v="80"/>
          </reference>
          <reference field="5" count="1" selected="0">
            <x v="200"/>
          </reference>
          <reference field="11" count="1">
            <x v="17"/>
          </reference>
          <reference field="25" count="1" selected="0">
            <x v="9"/>
          </reference>
        </references>
      </pivotArea>
    </format>
    <format dxfId="298">
      <pivotArea dataOnly="0" labelOnly="1" outline="0" fieldPosition="0">
        <references count="6">
          <reference field="0" count="1" selected="0">
            <x v="0"/>
          </reference>
          <reference field="2" count="1" selected="0">
            <x v="2"/>
          </reference>
          <reference field="4" count="1" selected="0">
            <x v="80"/>
          </reference>
          <reference field="5" count="1" selected="0">
            <x v="206"/>
          </reference>
          <reference field="11" count="1">
            <x v="10"/>
          </reference>
          <reference field="25" count="1" selected="0">
            <x v="11"/>
          </reference>
        </references>
      </pivotArea>
    </format>
    <format dxfId="299">
      <pivotArea dataOnly="0" labelOnly="1" outline="0" fieldPosition="0">
        <references count="6">
          <reference field="0" count="1" selected="0">
            <x v="0"/>
          </reference>
          <reference field="2" count="1" selected="0">
            <x v="3"/>
          </reference>
          <reference field="4" count="1" selected="0">
            <x v="77"/>
          </reference>
          <reference field="5" count="1" selected="0">
            <x v="31"/>
          </reference>
          <reference field="11" count="1">
            <x v="8"/>
          </reference>
          <reference field="25" count="1" selected="0">
            <x v="11"/>
          </reference>
        </references>
      </pivotArea>
    </format>
    <format dxfId="300">
      <pivotArea dataOnly="0" labelOnly="1" outline="0" fieldPosition="0">
        <references count="6">
          <reference field="0" count="1" selected="0">
            <x v="0"/>
          </reference>
          <reference field="2" count="1" selected="0">
            <x v="3"/>
          </reference>
          <reference field="4" count="1" selected="0">
            <x v="77"/>
          </reference>
          <reference field="5" count="1" selected="0">
            <x v="45"/>
          </reference>
          <reference field="11" count="1">
            <x v="17"/>
          </reference>
          <reference field="25" count="1" selected="0">
            <x v="12"/>
          </reference>
        </references>
      </pivotArea>
    </format>
    <format dxfId="301">
      <pivotArea dataOnly="0" labelOnly="1" outline="0" fieldPosition="0">
        <references count="6">
          <reference field="0" count="1" selected="0">
            <x v="1"/>
          </reference>
          <reference field="2" count="1" selected="0">
            <x v="7"/>
          </reference>
          <reference field="4" count="1" selected="0">
            <x v="59"/>
          </reference>
          <reference field="5" count="1" selected="0">
            <x v="98"/>
          </reference>
          <reference field="11" count="1">
            <x v="0"/>
          </reference>
          <reference field="25" count="1" selected="0">
            <x v="0"/>
          </reference>
        </references>
      </pivotArea>
    </format>
    <format dxfId="302">
      <pivotArea dataOnly="0" labelOnly="1" outline="0" fieldPosition="0">
        <references count="6">
          <reference field="0" count="1" selected="0">
            <x v="1"/>
          </reference>
          <reference field="2" count="1" selected="0">
            <x v="7"/>
          </reference>
          <reference field="4" count="1" selected="0">
            <x v="59"/>
          </reference>
          <reference field="5" count="1" selected="0">
            <x v="172"/>
          </reference>
          <reference field="11" count="1">
            <x v="17"/>
          </reference>
          <reference field="25" count="1" selected="0">
            <x v="12"/>
          </reference>
        </references>
      </pivotArea>
    </format>
    <format dxfId="303">
      <pivotArea dataOnly="0" labelOnly="1" outline="0" fieldPosition="0">
        <references count="6">
          <reference field="0" count="1" selected="0">
            <x v="1"/>
          </reference>
          <reference field="2" count="1" selected="0">
            <x v="8"/>
          </reference>
          <reference field="4" count="1" selected="0">
            <x v="109"/>
          </reference>
          <reference field="5" count="1" selected="0">
            <x v="77"/>
          </reference>
          <reference field="11" count="1">
            <x v="10"/>
          </reference>
          <reference field="25" count="1" selected="0">
            <x v="11"/>
          </reference>
        </references>
      </pivotArea>
    </format>
    <format dxfId="304">
      <pivotArea dataOnly="0" labelOnly="1" outline="0" fieldPosition="0">
        <references count="6">
          <reference field="0" count="1" selected="0">
            <x v="1"/>
          </reference>
          <reference field="2" count="1" selected="0">
            <x v="8"/>
          </reference>
          <reference field="4" count="1" selected="0">
            <x v="109"/>
          </reference>
          <reference field="5" count="1" selected="0">
            <x v="82"/>
          </reference>
          <reference field="11" count="1">
            <x v="17"/>
          </reference>
          <reference field="25" count="1" selected="0">
            <x v="1"/>
          </reference>
        </references>
      </pivotArea>
    </format>
    <format dxfId="305">
      <pivotArea dataOnly="0" labelOnly="1" outline="0" fieldPosition="0">
        <references count="6">
          <reference field="0" count="1" selected="0">
            <x v="1"/>
          </reference>
          <reference field="2" count="1" selected="0">
            <x v="8"/>
          </reference>
          <reference field="4" count="1" selected="0">
            <x v="109"/>
          </reference>
          <reference field="5" count="1" selected="0">
            <x v="99"/>
          </reference>
          <reference field="11" count="1">
            <x v="1"/>
          </reference>
          <reference field="25" count="1" selected="0">
            <x v="1"/>
          </reference>
        </references>
      </pivotArea>
    </format>
    <format dxfId="306">
      <pivotArea dataOnly="0" labelOnly="1" outline="0" fieldPosition="0">
        <references count="6">
          <reference field="0" count="1" selected="0">
            <x v="1"/>
          </reference>
          <reference field="2" count="1" selected="0">
            <x v="8"/>
          </reference>
          <reference field="4" count="1" selected="0">
            <x v="109"/>
          </reference>
          <reference field="5" count="1" selected="0">
            <x v="100"/>
          </reference>
          <reference field="11" count="1">
            <x v="17"/>
          </reference>
          <reference field="25" count="1" selected="0">
            <x v="1"/>
          </reference>
        </references>
      </pivotArea>
    </format>
    <format dxfId="307">
      <pivotArea dataOnly="0" labelOnly="1" outline="0" fieldPosition="0">
        <references count="6">
          <reference field="0" count="1" selected="0">
            <x v="1"/>
          </reference>
          <reference field="2" count="1" selected="0">
            <x v="9"/>
          </reference>
          <reference field="4" count="1" selected="0">
            <x v="112"/>
          </reference>
          <reference field="5" count="1" selected="0">
            <x v="83"/>
          </reference>
          <reference field="11" count="1">
            <x v="16"/>
          </reference>
          <reference field="25" count="1" selected="0">
            <x v="1"/>
          </reference>
        </references>
      </pivotArea>
    </format>
    <format dxfId="308">
      <pivotArea dataOnly="0" labelOnly="1" outline="0" fieldPosition="0">
        <references count="6">
          <reference field="0" count="1" selected="0">
            <x v="1"/>
          </reference>
          <reference field="2" count="1" selected="0">
            <x v="10"/>
          </reference>
          <reference field="4" count="1" selected="0">
            <x v="111"/>
          </reference>
          <reference field="5" count="1" selected="0">
            <x v="197"/>
          </reference>
          <reference field="11" count="1">
            <x v="17"/>
          </reference>
          <reference field="25" count="1" selected="0">
            <x v="1"/>
          </reference>
        </references>
      </pivotArea>
    </format>
    <format dxfId="309">
      <pivotArea dataOnly="0" labelOnly="1" outline="0" fieldPosition="0">
        <references count="6">
          <reference field="0" count="1" selected="0">
            <x v="1"/>
          </reference>
          <reference field="2" count="1" selected="0">
            <x v="14"/>
          </reference>
          <reference field="4" count="1" selected="0">
            <x v="115"/>
          </reference>
          <reference field="5" count="1" selected="0">
            <x v="208"/>
          </reference>
          <reference field="11" count="1">
            <x v="10"/>
          </reference>
          <reference field="25" count="1" selected="0">
            <x v="11"/>
          </reference>
        </references>
      </pivotArea>
    </format>
    <format dxfId="310">
      <pivotArea dataOnly="0" labelOnly="1" outline="0" fieldPosition="0">
        <references count="6">
          <reference field="0" count="1" selected="0">
            <x v="1"/>
          </reference>
          <reference field="2" count="1" selected="0">
            <x v="14"/>
          </reference>
          <reference field="4" count="1" selected="0">
            <x v="115"/>
          </reference>
          <reference field="5" count="1" selected="0">
            <x v="209"/>
          </reference>
          <reference field="11" count="1">
            <x v="6"/>
          </reference>
          <reference field="25" count="1" selected="0">
            <x v="11"/>
          </reference>
        </references>
      </pivotArea>
    </format>
    <format dxfId="311">
      <pivotArea dataOnly="0" labelOnly="1" outline="0" fieldPosition="0">
        <references count="6">
          <reference field="0" count="1" selected="0">
            <x v="1"/>
          </reference>
          <reference field="2" count="1" selected="0">
            <x v="14"/>
          </reference>
          <reference field="4" count="1" selected="0">
            <x v="115"/>
          </reference>
          <reference field="5" count="1" selected="0">
            <x v="211"/>
          </reference>
          <reference field="11" count="1">
            <x v="17"/>
          </reference>
          <reference field="25" count="1" selected="0">
            <x v="1"/>
          </reference>
        </references>
      </pivotArea>
    </format>
    <format dxfId="312">
      <pivotArea dataOnly="0" labelOnly="1" outline="0" fieldPosition="0">
        <references count="6">
          <reference field="0" count="1" selected="0">
            <x v="2"/>
          </reference>
          <reference field="2" count="1" selected="0">
            <x v="15"/>
          </reference>
          <reference field="4" count="1" selected="0">
            <x v="72"/>
          </reference>
          <reference field="5" count="1" selected="0">
            <x v="1"/>
          </reference>
          <reference field="11" count="1">
            <x v="6"/>
          </reference>
          <reference field="25" count="1" selected="0">
            <x v="11"/>
          </reference>
        </references>
      </pivotArea>
    </format>
    <format dxfId="313">
      <pivotArea dataOnly="0" labelOnly="1" outline="0" fieldPosition="0">
        <references count="6">
          <reference field="0" count="1" selected="0">
            <x v="2"/>
          </reference>
          <reference field="2" count="1" selected="0">
            <x v="15"/>
          </reference>
          <reference field="4" count="1" selected="0">
            <x v="72"/>
          </reference>
          <reference field="5" count="1" selected="0">
            <x v="44"/>
          </reference>
          <reference field="11" count="1">
            <x v="10"/>
          </reference>
          <reference field="25" count="1" selected="0">
            <x v="11"/>
          </reference>
        </references>
      </pivotArea>
    </format>
    <format dxfId="314">
      <pivotArea dataOnly="0" labelOnly="1" outline="0" fieldPosition="0">
        <references count="6">
          <reference field="0" count="1" selected="0">
            <x v="2"/>
          </reference>
          <reference field="2" count="1" selected="0">
            <x v="15"/>
          </reference>
          <reference field="4" count="1" selected="0">
            <x v="72"/>
          </reference>
          <reference field="5" count="1" selected="0">
            <x v="111"/>
          </reference>
          <reference field="11" count="1">
            <x v="17"/>
          </reference>
          <reference field="25" count="1" selected="0">
            <x v="1"/>
          </reference>
        </references>
      </pivotArea>
    </format>
    <format dxfId="315">
      <pivotArea dataOnly="0" labelOnly="1" outline="0" fieldPosition="0">
        <references count="6">
          <reference field="0" count="1" selected="0">
            <x v="2"/>
          </reference>
          <reference field="2" count="1" selected="0">
            <x v="16"/>
          </reference>
          <reference field="4" count="1" selected="0">
            <x v="93"/>
          </reference>
          <reference field="5" count="1" selected="0">
            <x v="161"/>
          </reference>
          <reference field="11" count="1">
            <x v="12"/>
          </reference>
          <reference field="25" count="1" selected="0">
            <x v="1"/>
          </reference>
        </references>
      </pivotArea>
    </format>
    <format dxfId="316">
      <pivotArea dataOnly="0" labelOnly="1" outline="0" fieldPosition="0">
        <references count="6">
          <reference field="0" count="1" selected="0">
            <x v="2"/>
          </reference>
          <reference field="2" count="1" selected="0">
            <x v="16"/>
          </reference>
          <reference field="4" count="1" selected="0">
            <x v="93"/>
          </reference>
          <reference field="5" count="1" selected="0">
            <x v="205"/>
          </reference>
          <reference field="11" count="1">
            <x v="17"/>
          </reference>
          <reference field="25" count="1" selected="0">
            <x v="1"/>
          </reference>
        </references>
      </pivotArea>
    </format>
    <format dxfId="317">
      <pivotArea dataOnly="0" labelOnly="1" outline="0" fieldPosition="0">
        <references count="6">
          <reference field="0" count="1" selected="0">
            <x v="2"/>
          </reference>
          <reference field="2" count="1" selected="0">
            <x v="17"/>
          </reference>
          <reference field="4" count="1" selected="0">
            <x v="95"/>
          </reference>
          <reference field="5" count="1" selected="0">
            <x v="2"/>
          </reference>
          <reference field="11" count="1">
            <x v="6"/>
          </reference>
          <reference field="25" count="1" selected="0">
            <x v="11"/>
          </reference>
        </references>
      </pivotArea>
    </format>
    <format dxfId="318">
      <pivotArea dataOnly="0" labelOnly="1" outline="0" fieldPosition="0">
        <references count="6">
          <reference field="0" count="1" selected="0">
            <x v="2"/>
          </reference>
          <reference field="2" count="1" selected="0">
            <x v="18"/>
          </reference>
          <reference field="4" count="1" selected="0">
            <x v="63"/>
          </reference>
          <reference field="5" count="1" selected="0">
            <x v="16"/>
          </reference>
          <reference field="11" count="1">
            <x v="17"/>
          </reference>
          <reference field="25" count="1" selected="0">
            <x v="1"/>
          </reference>
        </references>
      </pivotArea>
    </format>
    <format dxfId="319">
      <pivotArea dataOnly="0" labelOnly="1" outline="0" fieldPosition="0">
        <references count="6">
          <reference field="0" count="1" selected="0">
            <x v="2"/>
          </reference>
          <reference field="2" count="1" selected="0">
            <x v="18"/>
          </reference>
          <reference field="4" count="1" selected="0">
            <x v="63"/>
          </reference>
          <reference field="5" count="1" selected="0">
            <x v="55"/>
          </reference>
          <reference field="11" count="1">
            <x v="10"/>
          </reference>
          <reference field="25" count="1" selected="0">
            <x v="11"/>
          </reference>
        </references>
      </pivotArea>
    </format>
    <format dxfId="320">
      <pivotArea dataOnly="0" labelOnly="1" outline="0" fieldPosition="0">
        <references count="6">
          <reference field="0" count="1" selected="0">
            <x v="2"/>
          </reference>
          <reference field="2" count="1" selected="0">
            <x v="18"/>
          </reference>
          <reference field="4" count="1" selected="0">
            <x v="63"/>
          </reference>
          <reference field="5" count="1" selected="0">
            <x v="80"/>
          </reference>
          <reference field="11" count="1">
            <x v="17"/>
          </reference>
          <reference field="25" count="1" selected="0">
            <x v="1"/>
          </reference>
        </references>
      </pivotArea>
    </format>
    <format dxfId="321">
      <pivotArea dataOnly="0" labelOnly="1" outline="0" fieldPosition="0">
        <references count="6">
          <reference field="0" count="1" selected="0">
            <x v="3"/>
          </reference>
          <reference field="2" count="1" selected="0">
            <x v="21"/>
          </reference>
          <reference field="4" count="1" selected="0">
            <x v="54"/>
          </reference>
          <reference field="5" count="1" selected="0">
            <x v="212"/>
          </reference>
          <reference field="11" count="1">
            <x v="2"/>
          </reference>
          <reference field="25" count="1" selected="0">
            <x v="1"/>
          </reference>
        </references>
      </pivotArea>
    </format>
    <format dxfId="322">
      <pivotArea dataOnly="0" labelOnly="1" outline="0" fieldPosition="0">
        <references count="6">
          <reference field="0" count="1" selected="0">
            <x v="3"/>
          </reference>
          <reference field="2" count="1" selected="0">
            <x v="22"/>
          </reference>
          <reference field="4" count="1" selected="0">
            <x v="102"/>
          </reference>
          <reference field="5" count="1" selected="0">
            <x v="127"/>
          </reference>
          <reference field="11" count="1">
            <x v="17"/>
          </reference>
          <reference field="25" count="1" selected="0">
            <x v="1"/>
          </reference>
        </references>
      </pivotArea>
    </format>
    <format dxfId="323">
      <pivotArea dataOnly="0" labelOnly="1" outline="0" fieldPosition="0">
        <references count="6">
          <reference field="0" count="1" selected="0">
            <x v="3"/>
          </reference>
          <reference field="2" count="1" selected="0">
            <x v="23"/>
          </reference>
          <reference field="4" count="1" selected="0">
            <x v="103"/>
          </reference>
          <reference field="5" count="1" selected="0">
            <x v="8"/>
          </reference>
          <reference field="11" count="1">
            <x v="12"/>
          </reference>
          <reference field="25" count="1" selected="0">
            <x v="1"/>
          </reference>
        </references>
      </pivotArea>
    </format>
    <format dxfId="324">
      <pivotArea dataOnly="0" labelOnly="1" outline="0" fieldPosition="0">
        <references count="6">
          <reference field="0" count="1" selected="0">
            <x v="3"/>
          </reference>
          <reference field="2" count="1" selected="0">
            <x v="23"/>
          </reference>
          <reference field="4" count="1" selected="0">
            <x v="103"/>
          </reference>
          <reference field="5" count="1" selected="0">
            <x v="210"/>
          </reference>
          <reference field="11" count="1">
            <x v="6"/>
          </reference>
          <reference field="25" count="1" selected="0">
            <x v="11"/>
          </reference>
        </references>
      </pivotArea>
    </format>
    <format dxfId="325">
      <pivotArea dataOnly="0" labelOnly="1" outline="0" fieldPosition="0">
        <references count="6">
          <reference field="0" count="1" selected="0">
            <x v="3"/>
          </reference>
          <reference field="2" count="1" selected="0">
            <x v="24"/>
          </reference>
          <reference field="4" count="1" selected="0">
            <x v="104"/>
          </reference>
          <reference field="5" count="1" selected="0">
            <x v="10"/>
          </reference>
          <reference field="11" count="1">
            <x v="12"/>
          </reference>
          <reference field="25" count="1" selected="0">
            <x v="1"/>
          </reference>
        </references>
      </pivotArea>
    </format>
    <format dxfId="326">
      <pivotArea dataOnly="0" labelOnly="1" outline="0" fieldPosition="0">
        <references count="6">
          <reference field="0" count="1" selected="0">
            <x v="3"/>
          </reference>
          <reference field="2" count="1" selected="0">
            <x v="25"/>
          </reference>
          <reference field="4" count="1" selected="0">
            <x v="90"/>
          </reference>
          <reference field="5" count="1" selected="0">
            <x v="103"/>
          </reference>
          <reference field="11" count="1">
            <x v="4"/>
          </reference>
          <reference field="25" count="1" selected="0">
            <x v="1"/>
          </reference>
        </references>
      </pivotArea>
    </format>
    <format dxfId="327">
      <pivotArea dataOnly="0" labelOnly="1" outline="0" fieldPosition="0">
        <references count="6">
          <reference field="0" count="1" selected="0">
            <x v="3"/>
          </reference>
          <reference field="2" count="1" selected="0">
            <x v="25"/>
          </reference>
          <reference field="4" count="1" selected="0">
            <x v="90"/>
          </reference>
          <reference field="5" count="1" selected="0">
            <x v="184"/>
          </reference>
          <reference field="11" count="1">
            <x v="17"/>
          </reference>
          <reference field="25" count="1" selected="0">
            <x v="1"/>
          </reference>
        </references>
      </pivotArea>
    </format>
    <format dxfId="328">
      <pivotArea dataOnly="0" labelOnly="1" outline="0" fieldPosition="0">
        <references count="6">
          <reference field="0" count="1" selected="0">
            <x v="3"/>
          </reference>
          <reference field="2" count="1" selected="0">
            <x v="33"/>
          </reference>
          <reference field="4" count="1" selected="0">
            <x v="106"/>
          </reference>
          <reference field="5" count="1" selected="0">
            <x v="207"/>
          </reference>
          <reference field="11" count="1">
            <x v="10"/>
          </reference>
          <reference field="25" count="1" selected="0">
            <x v="11"/>
          </reference>
        </references>
      </pivotArea>
    </format>
    <format dxfId="329">
      <pivotArea dataOnly="0" labelOnly="1" outline="0" fieldPosition="0">
        <references count="6">
          <reference field="0" count="1" selected="0">
            <x v="4"/>
          </reference>
          <reference field="2" count="1" selected="0">
            <x v="26"/>
          </reference>
          <reference field="4" count="1" selected="0">
            <x v="82"/>
          </reference>
          <reference field="5" count="1" selected="0">
            <x v="34"/>
          </reference>
          <reference field="11" count="1">
            <x v="17"/>
          </reference>
          <reference field="25" count="1" selected="0">
            <x v="12"/>
          </reference>
        </references>
      </pivotArea>
    </format>
    <format dxfId="330">
      <pivotArea dataOnly="0" labelOnly="1" outline="0" fieldPosition="0">
        <references count="6">
          <reference field="0" count="1" selected="0">
            <x v="4"/>
          </reference>
          <reference field="2" count="1" selected="0">
            <x v="30"/>
          </reference>
          <reference field="4" count="1" selected="0">
            <x v="74"/>
          </reference>
          <reference field="5" count="1" selected="0">
            <x v="38"/>
          </reference>
          <reference field="11" count="1">
            <x v="14"/>
          </reference>
          <reference field="25" count="1" selected="0">
            <x v="1"/>
          </reference>
        </references>
      </pivotArea>
    </format>
    <format dxfId="331">
      <pivotArea dataOnly="0" labelOnly="1" outline="0" fieldPosition="0">
        <references count="6">
          <reference field="0" count="1" selected="0">
            <x v="4"/>
          </reference>
          <reference field="2" count="1" selected="0">
            <x v="30"/>
          </reference>
          <reference field="4" count="1" selected="0">
            <x v="74"/>
          </reference>
          <reference field="5" count="1" selected="0">
            <x v="38"/>
          </reference>
          <reference field="11" count="1">
            <x v="17"/>
          </reference>
          <reference field="25" count="1" selected="0">
            <x v="12"/>
          </reference>
        </references>
      </pivotArea>
    </format>
    <format dxfId="332">
      <pivotArea dataOnly="0" labelOnly="1" outline="0" fieldPosition="0">
        <references count="6">
          <reference field="0" count="1" selected="0">
            <x v="5"/>
          </reference>
          <reference field="2" count="1" selected="0">
            <x v="0"/>
          </reference>
          <reference field="4" count="1" selected="0">
            <x v="48"/>
          </reference>
          <reference field="5" count="1" selected="0">
            <x v="202"/>
          </reference>
          <reference field="11" count="1">
            <x v="9"/>
          </reference>
          <reference field="25" count="1" selected="0">
            <x v="1"/>
          </reference>
        </references>
      </pivotArea>
    </format>
    <format dxfId="333">
      <pivotArea dataOnly="0" labelOnly="1" outline="0" fieldPosition="0">
        <references count="6">
          <reference field="0" count="1" selected="0">
            <x v="6"/>
          </reference>
          <reference field="2" count="1" selected="0">
            <x v="32"/>
          </reference>
          <reference field="4" count="1" selected="0">
            <x v="118"/>
          </reference>
          <reference field="5" count="1" selected="0">
            <x v="67"/>
          </reference>
          <reference field="11" count="1">
            <x v="18"/>
          </reference>
          <reference field="25" count="1" selected="0">
            <x v="4"/>
          </reference>
        </references>
      </pivotArea>
    </format>
    <format dxfId="334">
      <pivotArea dataOnly="0" labelOnly="1" outline="0" offset="IV1" fieldPosition="0">
        <references count="4">
          <reference field="0" count="1" selected="0">
            <x v="0"/>
          </reference>
          <reference field="2" count="1" selected="0">
            <x v="2"/>
          </reference>
          <reference field="4" count="1" selected="0">
            <x v="80"/>
          </reference>
          <reference field="5" count="1">
            <x v="200"/>
          </reference>
        </references>
      </pivotArea>
    </format>
    <format dxfId="335">
      <pivotArea dataOnly="0" labelOnly="1" outline="0" fieldPosition="0">
        <references count="4">
          <reference field="0" count="1" selected="0">
            <x v="1"/>
          </reference>
          <reference field="2" count="1" selected="0">
            <x v="7"/>
          </reference>
          <reference field="4" count="1" selected="0">
            <x v="59"/>
          </reference>
          <reference field="5" count="1">
            <x v="190"/>
          </reference>
        </references>
      </pivotArea>
    </format>
    <format dxfId="336">
      <pivotArea dataOnly="0" labelOnly="1" outline="0" fieldPosition="0">
        <references count="4">
          <reference field="0" count="1" selected="0">
            <x v="1"/>
          </reference>
          <reference field="2" count="1" selected="0">
            <x v="7"/>
          </reference>
          <reference field="4" count="1" selected="0">
            <x v="59"/>
          </reference>
          <reference field="5" count="2">
            <x v="98"/>
            <x v="172"/>
          </reference>
        </references>
      </pivotArea>
    </format>
    <format dxfId="337">
      <pivotArea dataOnly="0" labelOnly="1" outline="0" fieldPosition="0">
        <references count="4">
          <reference field="0" count="1" selected="0">
            <x v="1"/>
          </reference>
          <reference field="2" count="1" selected="0">
            <x v="8"/>
          </reference>
          <reference field="4" count="1" selected="0">
            <x v="109"/>
          </reference>
          <reference field="5" count="1">
            <x v="100"/>
          </reference>
        </references>
      </pivotArea>
    </format>
    <format dxfId="338">
      <pivotArea dataOnly="0" labelOnly="1" outline="0" fieldPosition="0">
        <references count="4">
          <reference field="0" count="1" selected="0">
            <x v="1"/>
          </reference>
          <reference field="2" count="1" selected="0">
            <x v="12"/>
          </reference>
          <reference field="4" count="1" selected="0">
            <x v="98"/>
          </reference>
          <reference field="5" count="1">
            <x v="28"/>
          </reference>
        </references>
      </pivotArea>
    </format>
    <format dxfId="339">
      <pivotArea dataOnly="0" labelOnly="1" outline="0" fieldPosition="0">
        <references count="4">
          <reference field="0" count="1" selected="0">
            <x v="2"/>
          </reference>
          <reference field="2" count="1" selected="0">
            <x v="15"/>
          </reference>
          <reference field="4" count="1" selected="0">
            <x v="72"/>
          </reference>
          <reference field="5" count="7">
            <x v="44"/>
            <x v="111"/>
            <x v="115"/>
            <x v="116"/>
            <x v="117"/>
            <x v="188"/>
            <x v="199"/>
          </reference>
        </references>
      </pivotArea>
    </format>
    <format dxfId="340">
      <pivotArea dataOnly="0" labelOnly="1" outline="0" fieldPosition="0">
        <references count="4">
          <reference field="0" count="1" selected="0">
            <x v="2"/>
          </reference>
          <reference field="2" count="1" selected="0">
            <x v="18"/>
          </reference>
          <reference field="4" count="1" selected="0">
            <x v="63"/>
          </reference>
          <reference field="5" count="1">
            <x v="80"/>
          </reference>
        </references>
      </pivotArea>
    </format>
    <format dxfId="341">
      <pivotArea dataOnly="0" labelOnly="1" outline="0" fieldPosition="0">
        <references count="4">
          <reference field="0" count="1" selected="0">
            <x v="3"/>
          </reference>
          <reference field="2" count="1" selected="0">
            <x v="21"/>
          </reference>
          <reference field="4" count="1" selected="0">
            <x v="54"/>
          </reference>
          <reference field="5" count="1">
            <x v="60"/>
          </reference>
        </references>
      </pivotArea>
    </format>
    <format dxfId="342">
      <pivotArea dataOnly="0" labelOnly="1" outline="0" fieldPosition="0">
        <references count="4">
          <reference field="0" count="1" selected="0">
            <x v="3"/>
          </reference>
          <reference field="2" count="1" selected="0">
            <x v="21"/>
          </reference>
          <reference field="4" count="1" selected="0">
            <x v="54"/>
          </reference>
          <reference field="5" count="2">
            <x v="135"/>
            <x v="174"/>
          </reference>
        </references>
      </pivotArea>
    </format>
    <format dxfId="343">
      <pivotArea dataOnly="0" labelOnly="1" outline="0" fieldPosition="0">
        <references count="4">
          <reference field="0" count="1" selected="0">
            <x v="3"/>
          </reference>
          <reference field="2" count="1" selected="0">
            <x v="22"/>
          </reference>
          <reference field="4" count="1" selected="0">
            <x v="102"/>
          </reference>
          <reference field="5" count="1">
            <x v="127"/>
          </reference>
        </references>
      </pivotArea>
    </format>
    <format dxfId="344">
      <pivotArea dataOnly="0" labelOnly="1" outline="0" fieldPosition="0">
        <references count="4">
          <reference field="0" count="1" selected="0">
            <x v="5"/>
          </reference>
          <reference field="2" count="1" selected="0">
            <x v="0"/>
          </reference>
          <reference field="4" count="1" selected="0">
            <x v="48"/>
          </reference>
          <reference field="5" count="1">
            <x v="202"/>
          </reference>
        </references>
      </pivotArea>
    </format>
    <format dxfId="345">
      <pivotArea dataOnly="0" labelOnly="1" outline="0" fieldPosition="0">
        <references count="4">
          <reference field="0" count="1" selected="0">
            <x v="1"/>
          </reference>
          <reference field="2" count="1" selected="0">
            <x v="7"/>
          </reference>
          <reference field="4" count="1" selected="0">
            <x v="59"/>
          </reference>
          <reference field="5" count="1">
            <x v="172"/>
          </reference>
        </references>
      </pivotArea>
    </format>
    <format dxfId="346">
      <pivotArea dataOnly="0" labelOnly="1" outline="0" offset="A256" fieldPosition="0">
        <references count="4">
          <reference field="0" count="1" selected="0">
            <x v="1"/>
          </reference>
          <reference field="2" count="1" selected="0">
            <x v="8"/>
          </reference>
          <reference field="4" count="1" selected="0">
            <x v="109"/>
          </reference>
          <reference field="5" count="1">
            <x v="100"/>
          </reference>
        </references>
      </pivotArea>
    </format>
    <format dxfId="347">
      <pivotArea dataOnly="0" labelOnly="1" outline="0" offset="A256" fieldPosition="0">
        <references count="4">
          <reference field="0" count="1" selected="0">
            <x v="1"/>
          </reference>
          <reference field="2" count="1" selected="0">
            <x v="12"/>
          </reference>
          <reference field="4" count="1" selected="0">
            <x v="98"/>
          </reference>
          <reference field="5" count="1">
            <x v="28"/>
          </reference>
        </references>
      </pivotArea>
    </format>
    <format dxfId="348">
      <pivotArea dataOnly="0" labelOnly="1" outline="0" fieldPosition="0">
        <references count="4">
          <reference field="0" count="1" selected="0">
            <x v="2"/>
          </reference>
          <reference field="2" count="1" selected="0">
            <x v="15"/>
          </reference>
          <reference field="4" count="1" selected="0">
            <x v="72"/>
          </reference>
          <reference field="5" count="6">
            <x v="111"/>
            <x v="115"/>
            <x v="116"/>
            <x v="117"/>
            <x v="188"/>
            <x v="199"/>
          </reference>
        </references>
      </pivotArea>
    </format>
    <format dxfId="349">
      <pivotArea dataOnly="0" labelOnly="1" outline="0" fieldPosition="0">
        <references count="4">
          <reference field="0" count="1" selected="0">
            <x v="2"/>
          </reference>
          <reference field="2" count="1" selected="0">
            <x v="18"/>
          </reference>
          <reference field="4" count="1" selected="0">
            <x v="63"/>
          </reference>
          <reference field="5" count="1">
            <x v="80"/>
          </reference>
        </references>
      </pivotArea>
    </format>
    <format dxfId="350">
      <pivotArea dataOnly="0" labelOnly="1" outline="0" fieldPosition="0">
        <references count="4">
          <reference field="0" count="1" selected="0">
            <x v="3"/>
          </reference>
          <reference field="2" count="1" selected="0">
            <x v="21"/>
          </reference>
          <reference field="4" count="1" selected="0">
            <x v="54"/>
          </reference>
          <reference field="5" count="1">
            <x v="60"/>
          </reference>
        </references>
      </pivotArea>
    </format>
    <format dxfId="351">
      <pivotArea dataOnly="0" labelOnly="1" outline="0" fieldPosition="0">
        <references count="4">
          <reference field="0" count="1" selected="0">
            <x v="3"/>
          </reference>
          <reference field="2" count="1" selected="0">
            <x v="21"/>
          </reference>
          <reference field="4" count="1" selected="0">
            <x v="54"/>
          </reference>
          <reference field="5" count="1">
            <x v="135"/>
          </reference>
        </references>
      </pivotArea>
    </format>
    <format dxfId="352">
      <pivotArea dataOnly="0" labelOnly="1" outline="0" fieldPosition="0">
        <references count="4">
          <reference field="0" count="1" selected="0">
            <x v="3"/>
          </reference>
          <reference field="2" count="1" selected="0">
            <x v="21"/>
          </reference>
          <reference field="4" count="1" selected="0">
            <x v="54"/>
          </reference>
          <reference field="5" count="1">
            <x v="174"/>
          </reference>
        </references>
      </pivotArea>
    </format>
    <format dxfId="353">
      <pivotArea dataOnly="0" labelOnly="1" outline="0" fieldPosition="0">
        <references count="4">
          <reference field="0" count="1" selected="0">
            <x v="3"/>
          </reference>
          <reference field="2" count="1" selected="0">
            <x v="22"/>
          </reference>
          <reference field="4" count="1" selected="0">
            <x v="102"/>
          </reference>
          <reference field="5" count="1">
            <x v="127"/>
          </reference>
        </references>
      </pivotArea>
    </format>
    <format dxfId="354">
      <pivotArea dataOnly="0" labelOnly="1" outline="0" fieldPosition="0">
        <references count="4">
          <reference field="0" count="1" selected="0">
            <x v="5"/>
          </reference>
          <reference field="2" count="1" selected="0">
            <x v="0"/>
          </reference>
          <reference field="4" count="1" selected="0">
            <x v="48"/>
          </reference>
          <reference field="5" count="1">
            <x v="202"/>
          </reference>
        </references>
      </pivotArea>
    </format>
    <format dxfId="355">
      <pivotArea dataOnly="0" labelOnly="1" outline="0" offset="IV1" fieldPosition="0">
        <references count="4">
          <reference field="0" count="1" selected="0">
            <x v="0"/>
          </reference>
          <reference field="2" count="1" selected="0">
            <x v="2"/>
          </reference>
          <reference field="4" count="1" selected="0">
            <x v="80"/>
          </reference>
          <reference field="5" count="1">
            <x v="21"/>
          </reference>
        </references>
      </pivotArea>
    </format>
    <format dxfId="356">
      <pivotArea dataOnly="0" labelOnly="1" outline="0" fieldPosition="0">
        <references count="4">
          <reference field="0" count="1" selected="0">
            <x v="0"/>
          </reference>
          <reference field="2" count="1" selected="0">
            <x v="1"/>
          </reference>
          <reference field="4" count="1" selected="0">
            <x v="62"/>
          </reference>
          <reference field="5" count="1">
            <x v="107"/>
          </reference>
        </references>
      </pivotArea>
    </format>
    <format dxfId="357">
      <pivotArea dataOnly="0" labelOnly="1" outline="0" fieldPosition="0">
        <references count="4">
          <reference field="0" count="1" selected="0">
            <x v="0"/>
          </reference>
          <reference field="2" count="1" selected="0">
            <x v="3"/>
          </reference>
          <reference field="4" count="1" selected="0">
            <x v="77"/>
          </reference>
          <reference field="5" count="1">
            <x v="160"/>
          </reference>
        </references>
      </pivotArea>
    </format>
    <format dxfId="358">
      <pivotArea dataOnly="0" labelOnly="1" outline="0" fieldPosition="0">
        <references count="4">
          <reference field="0" count="1" selected="0">
            <x v="0"/>
          </reference>
          <reference field="2" count="1" selected="0">
            <x v="4"/>
          </reference>
          <reference field="4" count="1" selected="0">
            <x v="85"/>
          </reference>
          <reference field="5" count="1">
            <x v="153"/>
          </reference>
        </references>
      </pivotArea>
    </format>
    <format dxfId="359">
      <pivotArea dataOnly="0" labelOnly="1" outline="0" fieldPosition="0">
        <references count="4">
          <reference field="0" count="1" selected="0">
            <x v="0"/>
          </reference>
          <reference field="2" count="1" selected="0">
            <x v="4"/>
          </reference>
          <reference field="4" count="1" selected="0">
            <x v="85"/>
          </reference>
          <reference field="5" count="1">
            <x v="155"/>
          </reference>
        </references>
      </pivotArea>
    </format>
    <format dxfId="360">
      <pivotArea dataOnly="0" labelOnly="1" outline="0" fieldPosition="0">
        <references count="4">
          <reference field="0" count="1" selected="0">
            <x v="1"/>
          </reference>
          <reference field="2" count="1" selected="0">
            <x v="7"/>
          </reference>
          <reference field="4" count="1" selected="0">
            <x v="59"/>
          </reference>
          <reference field="5" count="1">
            <x v="98"/>
          </reference>
        </references>
      </pivotArea>
    </format>
    <format dxfId="361">
      <pivotArea dataOnly="0" labelOnly="1" outline="0" fieldPosition="0">
        <references count="4">
          <reference field="0" count="1" selected="0">
            <x v="1"/>
          </reference>
          <reference field="2" count="1" selected="0">
            <x v="7"/>
          </reference>
          <reference field="4" count="1" selected="0">
            <x v="59"/>
          </reference>
          <reference field="5" count="1">
            <x v="190"/>
          </reference>
        </references>
      </pivotArea>
    </format>
    <format dxfId="362">
      <pivotArea dataOnly="0" labelOnly="1" outline="0" fieldPosition="0">
        <references count="4">
          <reference field="0" count="1" selected="0">
            <x v="1"/>
          </reference>
          <reference field="2" count="1" selected="0">
            <x v="7"/>
          </reference>
          <reference field="4" count="1" selected="0">
            <x v="59"/>
          </reference>
          <reference field="5" count="1">
            <x v="190"/>
          </reference>
        </references>
      </pivotArea>
    </format>
    <format dxfId="363">
      <pivotArea dataOnly="0" labelOnly="1" outline="0" fieldPosition="0">
        <references count="4">
          <reference field="0" count="1" selected="0">
            <x v="1"/>
          </reference>
          <reference field="2" count="1" selected="0">
            <x v="9"/>
          </reference>
          <reference field="4" count="1" selected="0">
            <x v="112"/>
          </reference>
          <reference field="5" count="1">
            <x v="83"/>
          </reference>
        </references>
      </pivotArea>
    </format>
    <format dxfId="364">
      <pivotArea dataOnly="0" labelOnly="1" outline="0" fieldPosition="0">
        <references count="4">
          <reference field="0" count="1" selected="0">
            <x v="2"/>
          </reference>
          <reference field="2" count="1" selected="0">
            <x v="15"/>
          </reference>
          <reference field="4" count="1" selected="0">
            <x v="72"/>
          </reference>
          <reference field="5" count="1">
            <x v="44"/>
          </reference>
        </references>
      </pivotArea>
    </format>
    <format dxfId="365">
      <pivotArea dataOnly="0" labelOnly="1" outline="0" fieldPosition="0">
        <references count="4">
          <reference field="0" count="1" selected="0">
            <x v="2"/>
          </reference>
          <reference field="2" count="1" selected="0">
            <x v="16"/>
          </reference>
          <reference field="4" count="1" selected="0">
            <x v="93"/>
          </reference>
          <reference field="5" count="1">
            <x v="142"/>
          </reference>
        </references>
      </pivotArea>
    </format>
    <format dxfId="366">
      <pivotArea dataOnly="0" labelOnly="1" outline="0" fieldPosition="0">
        <references count="4">
          <reference field="0" count="1" selected="0">
            <x v="4"/>
          </reference>
          <reference field="2" count="1" selected="0">
            <x v="29"/>
          </reference>
          <reference field="4" count="1" selected="0">
            <x v="56"/>
          </reference>
          <reference field="5" count="1">
            <x v="219"/>
          </reference>
        </references>
      </pivotArea>
    </format>
    <format dxfId="367">
      <pivotArea dataOnly="0" labelOnly="1" outline="0" fieldPosition="0">
        <references count="4">
          <reference field="0" count="1" selected="0">
            <x v="4"/>
          </reference>
          <reference field="2" count="1" selected="0">
            <x v="29"/>
          </reference>
          <reference field="4" count="1" selected="0">
            <x v="56"/>
          </reference>
          <reference field="5" count="1">
            <x v="219"/>
          </reference>
        </references>
      </pivotArea>
    </format>
    <format dxfId="368">
      <pivotArea field="0" grandRow="1" outline="0" axis="axisRow" fieldPosition="0">
        <references count="1">
          <reference field="4294967294" count="2" selected="0">
            <x v="0"/>
            <x v="1"/>
          </reference>
        </references>
      </pivotArea>
    </format>
    <format dxfId="369">
      <pivotArea dataOnly="0" labelOnly="1" outline="0" fieldPosition="0">
        <references count="4">
          <reference field="0" count="1" selected="0">
            <x v="0"/>
          </reference>
          <reference field="2" count="1" selected="0">
            <x v="34"/>
          </reference>
          <reference field="4" count="1" selected="0">
            <x v="49"/>
          </reference>
          <reference field="5" count="1">
            <x v="221"/>
          </reference>
        </references>
      </pivotArea>
    </format>
    <format dxfId="370">
      <pivotArea dataOnly="0" labelOnly="1" outline="0" fieldPosition="0">
        <references count="4">
          <reference field="0" count="1" selected="0">
            <x v="0"/>
          </reference>
          <reference field="2" count="1" selected="0">
            <x v="34"/>
          </reference>
          <reference field="4" count="1" selected="0">
            <x v="49"/>
          </reference>
          <reference field="5" count="1">
            <x v="221"/>
          </reference>
        </references>
      </pivotArea>
    </format>
    <format dxfId="371">
      <pivotArea dataOnly="0" labelOnly="1" outline="0" fieldPosition="0">
        <references count="4">
          <reference field="0" count="1" selected="0">
            <x v="0"/>
          </reference>
          <reference field="2" count="1" selected="0">
            <x v="6"/>
          </reference>
          <reference field="4" count="1" selected="0">
            <x v="69"/>
          </reference>
          <reference field="5" count="1">
            <x v="191"/>
          </reference>
        </references>
      </pivotArea>
    </format>
    <format dxfId="372">
      <pivotArea dataOnly="0" labelOnly="1" outline="0" offset="IV1" fieldPosition="0">
        <references count="4">
          <reference field="0" count="1" selected="0">
            <x v="0"/>
          </reference>
          <reference field="2" count="1" selected="0">
            <x v="2"/>
          </reference>
          <reference field="4" count="1" selected="0">
            <x v="80"/>
          </reference>
          <reference field="5" count="1">
            <x v="21"/>
          </reference>
        </references>
      </pivotArea>
    </format>
    <format dxfId="373">
      <pivotArea dataOnly="0" labelOnly="1" outline="0" fieldPosition="0">
        <references count="4">
          <reference field="0" count="1" selected="0">
            <x v="2"/>
          </reference>
          <reference field="2" count="1" selected="0">
            <x v="35"/>
          </reference>
          <reference field="4" count="1" selected="0">
            <x v="97"/>
          </reference>
          <reference field="5" count="1">
            <x v="222"/>
          </reference>
        </references>
      </pivotArea>
    </format>
    <format dxfId="374">
      <pivotArea dataOnly="0" labelOnly="1" outline="0" offset="IV1" fieldPosition="0">
        <references count="3">
          <reference field="0" count="1" selected="0">
            <x v="2"/>
          </reference>
          <reference field="2" count="1" selected="0">
            <x v="18"/>
          </reference>
          <reference field="4" count="1">
            <x v="63"/>
          </reference>
        </references>
      </pivotArea>
    </format>
    <format dxfId="375">
      <pivotArea dataOnly="0" labelOnly="1" outline="0" fieldPosition="0">
        <references count="4">
          <reference field="0" count="1" selected="0">
            <x v="2"/>
          </reference>
          <reference field="2" count="1" selected="0">
            <x v="16"/>
          </reference>
          <reference field="4" count="1" selected="0">
            <x v="93"/>
          </reference>
          <reference field="5" count="1">
            <x v="205"/>
          </reference>
        </references>
      </pivotArea>
    </format>
    <format dxfId="376">
      <pivotArea dataOnly="0" labelOnly="1" outline="0" fieldPosition="0">
        <references count="4">
          <reference field="0" count="1" selected="0">
            <x v="0"/>
          </reference>
          <reference field="2" count="1" selected="0">
            <x v="36"/>
          </reference>
          <reference field="4" count="1" selected="0">
            <x v="78"/>
          </reference>
          <reference field="5" count="1">
            <x v="223"/>
          </reference>
        </references>
      </pivotArea>
    </format>
    <format dxfId="377">
      <pivotArea dataOnly="0" labelOnly="1" outline="0" fieldPosition="0">
        <references count="4">
          <reference field="0" count="1" selected="0">
            <x v="3"/>
          </reference>
          <reference field="2" count="1" selected="0">
            <x v="22"/>
          </reference>
          <reference field="4" count="1" selected="0">
            <x v="102"/>
          </reference>
          <reference field="5" count="1">
            <x v="224"/>
          </reference>
        </references>
      </pivotArea>
    </format>
    <format dxfId="378">
      <pivotArea dataOnly="0" labelOnly="1" outline="0" offset="IV1" fieldPosition="0">
        <references count="4">
          <reference field="0" count="1" selected="0">
            <x v="4"/>
          </reference>
          <reference field="2" count="1" selected="0">
            <x v="28"/>
          </reference>
          <reference field="4" count="1" selected="0">
            <x v="73"/>
          </reference>
          <reference field="5" count="1">
            <x v="64"/>
          </reference>
        </references>
      </pivotArea>
    </format>
    <format dxfId="379">
      <pivotArea dataOnly="0" labelOnly="1" outline="0" offset="IV1" fieldPosition="0">
        <references count="4">
          <reference field="0" count="1" selected="0">
            <x v="4"/>
          </reference>
          <reference field="2" count="1" selected="0">
            <x v="30"/>
          </reference>
          <reference field="4" count="1" selected="0">
            <x v="74"/>
          </reference>
          <reference field="5" count="1">
            <x v="38"/>
          </reference>
        </references>
      </pivotArea>
    </format>
    <format dxfId="380">
      <pivotArea dataOnly="0" labelOnly="1" outline="0" fieldPosition="0">
        <references count="4">
          <reference field="0" count="1" selected="0">
            <x v="4"/>
          </reference>
          <reference field="2" count="1" selected="0">
            <x v="29"/>
          </reference>
          <reference field="4" count="1" selected="0">
            <x v="56"/>
          </reference>
          <reference field="5" count="1">
            <x v="163"/>
          </reference>
        </references>
      </pivotArea>
    </format>
    <format dxfId="381">
      <pivotArea dataOnly="0" labelOnly="1" outline="0" fieldPosition="0">
        <references count="4">
          <reference field="0" count="1" selected="0">
            <x v="4"/>
          </reference>
          <reference field="2" count="1" selected="0">
            <x v="29"/>
          </reference>
          <reference field="4" count="1" selected="0">
            <x v="56"/>
          </reference>
          <reference field="5" count="1">
            <x v="225"/>
          </reference>
        </references>
      </pivotArea>
    </format>
  </formats>
  <pivotTableStyleInfo name="PivotStyleMedium2" showRowHeaders="0" showColHeaders="1" showRowStripes="1" showColStripes="0" showLastColumn="1"/>
  <extLst>
    <ext xmlns:xpdl="http://schemas.microsoft.com/office/spreadsheetml/2016/pivotdefaultlayout" uri="{747A6164-185A-40DC-8AA5-F01512510D54}">
      <xpdl:pivotTableDefinition16 EnabledSubtotalsDefault="0" SubtotalsOnTopDefault="0"/>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white surface with a pink background
Description automatically generated with medium confidence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s" displayName="Projects" ref="A1:BL125" totalsRowShown="0" headerRowDxfId="68" dataDxfId="67">
  <autoFilter ref="A1:BL125" xr:uid="{00000000-0009-0000-0100-000001000000}"/>
  <tableColumns count="64">
    <tableColumn id="1" xr3:uid="{00000000-0010-0000-0000-000001000000}" name="KRA" dataDxfId="66"/>
    <tableColumn id="2" xr3:uid="{00000000-0010-0000-0000-000002000000}" name="Output" dataDxfId="65"/>
    <tableColumn id="32" xr3:uid="{E0150831-DFCD-499D-99B1-8C2F24803340}" name="Activity No." dataDxfId="64">
      <calculatedColumnFormula>INDEX('Implementation Plan V2 Sep25'!E:E,MATCH(E2,'Implementation Plan V2 Sep25'!F:F,0))</calculatedColumnFormula>
    </tableColumn>
    <tableColumn id="3" xr3:uid="{00000000-0010-0000-0000-000003000000}" name="Activity Ref" dataDxfId="63"/>
    <tableColumn id="5" xr3:uid="{00000000-0010-0000-0000-000005000000}" name="Activity" dataDxfId="62"/>
    <tableColumn id="8" xr3:uid="{00000000-0010-0000-0000-000008000000}" name="Project Title" dataDxfId="61"/>
    <tableColumn id="47" xr3:uid="{A306A45D-DBC6-456F-B2D0-37F5E29F071E}" name="Phase" dataDxfId="60">
      <calculatedColumnFormula>Projects[[#This Row],[Activity Ref]]</calculatedColumnFormula>
    </tableColumn>
    <tableColumn id="7" xr3:uid="{00000000-0010-0000-0000-000007000000}" name="Task" dataDxfId="59"/>
    <tableColumn id="6" xr3:uid="{00000000-0010-0000-0000-000006000000}" name="Concept No. " dataDxfId="58"/>
    <tableColumn id="37" xr3:uid="{6C3D5281-8FD2-46EA-860D-E5B94C937E09}" name="Project No. " dataDxfId="57">
      <calculatedColumnFormula>IF(OR(ISBLANK(Projects[[#This Row],[Task]]),Projects[[#This Row],[Task]]=0),"",CONCATENATE(Projects[[#This Row],[Phase]],Projects[[#This Row],[Task]]))</calculatedColumnFormula>
    </tableColumn>
    <tableColumn id="9" xr3:uid="{00000000-0010-0000-0000-000009000000}" name="Project Type" dataDxfId="56"/>
    <tableColumn id="10" xr3:uid="{00000000-0010-0000-0000-00000A000000}" name="Executing Agency" dataDxfId="55"/>
    <tableColumn id="61" xr3:uid="{5E97A82E-8263-40DE-B64D-5A7BF47CE769}" name="Pacific-led (ie. decisions made by the Pacific, for the Pacific) institution (Yes/No)" dataDxfId="54"/>
    <tableColumn id="60" xr3:uid="{FA1A73F6-686A-4D79-BBE3-FDFDDB9A2338}" name="Pacific institution type (regional, national, sub-national)" dataDxfId="53"/>
    <tableColumn id="38" xr3:uid="{AE8FA9EA-5B12-4293-BEAB-CE0AADD08368}" name="PMU Lead" dataDxfId="52"/>
    <tableColumn id="48" xr3:uid="{8A86CBE1-4605-4008-9324-42F74ECEA887}" name="Project Manager Executing Agency" dataDxfId="51"/>
    <tableColumn id="11" xr3:uid="{00000000-0010-0000-0000-00000B000000}" name="Procurement/ Recruitment" dataDxfId="50"/>
    <tableColumn id="12" xr3:uid="{00000000-0010-0000-0000-00000C000000}" name="Actions" dataDxfId="49"/>
    <tableColumn id="40" xr3:uid="{00000000-0010-0000-0000-000028000000}" name="May 2026 DFAT spend" dataDxfId="48">
      <calculatedColumnFormula>SUM(Projects[[#This Row],[2025]])</calculatedColumnFormula>
    </tableColumn>
    <tableColumn id="15" xr3:uid="{00000000-0010-0000-0000-00000F000000}" name="Beneficiaries" dataDxfId="47"/>
    <tableColumn id="62" xr3:uid="{35DD747D-7CD1-4D17-BD40-B69EF5C0290A}" name="Funding Modality" dataDxfId="46"/>
    <tableColumn id="16" xr3:uid="{00000000-0010-0000-0000-000010000000}" name="Total Allocated Funding USD" dataDxfId="45"/>
    <tableColumn id="17" xr3:uid="{00000000-0010-0000-0000-000011000000}" name="Co-funder" dataDxfId="44"/>
    <tableColumn id="18" xr3:uid="{00000000-0010-0000-0000-000012000000}" name="Co-Funding &amp; In-Kind USD" dataDxfId="43"/>
    <tableColumn id="31" xr3:uid="{00000000-0010-0000-0000-00001F000000}" name="Co-funding estimate basis" dataDxfId="42"/>
    <tableColumn id="19" xr3:uid="{00000000-0010-0000-0000-000013000000}" name="WRP Funding Source" dataDxfId="41"/>
    <tableColumn id="20" xr3:uid="{00000000-0010-0000-0000-000014000000}" name="WRP Funding Allocated USD" dataDxfId="40">
      <calculatedColumnFormula>SUM(AD2:AM2)</calculatedColumnFormula>
    </tableColumn>
    <tableColumn id="64" xr3:uid="{0842D54F-EA7C-4CD0-8AD8-5398F1F62057}" name="2024 Budget" dataDxfId="39">
      <calculatedColumnFormula>IFERROR(INDEX(#REF!,MATCH(#REF!,#REF!,0)),"")</calculatedColumnFormula>
    </tableColumn>
    <tableColumn id="63" xr3:uid="{E9F4395B-8B34-4967-A466-9C33A058B30C}" name="2025 Budget" dataDxfId="38">
      <calculatedColumnFormula>IFERROR(INDEX(#REF!,MATCH(#REF!,#REF!,0)),"")</calculatedColumnFormula>
    </tableColumn>
    <tableColumn id="21" xr3:uid="{00000000-0010-0000-0000-000015000000}" name="2024" dataDxfId="37"/>
    <tableColumn id="22" xr3:uid="{00000000-0010-0000-0000-000016000000}" name="2025" dataDxfId="36"/>
    <tableColumn id="23" xr3:uid="{00000000-0010-0000-0000-000017000000}" name="2026 Budget" dataDxfId="35"/>
    <tableColumn id="24" xr3:uid="{00000000-0010-0000-0000-000018000000}" name="2027 Budget" dataDxfId="34"/>
    <tableColumn id="25" xr3:uid="{00000000-0010-0000-0000-000019000000}" name="2028 Budget" dataDxfId="33"/>
    <tableColumn id="26" xr3:uid="{00000000-0010-0000-0000-00001A000000}" name="2029 Budget" dataDxfId="32"/>
    <tableColumn id="27" xr3:uid="{00000000-0010-0000-0000-00001B000000}" name="2030 Budget" dataDxfId="31"/>
    <tableColumn id="28" xr3:uid="{00000000-0010-0000-0000-00001C000000}" name="2031 Budget" dataDxfId="30"/>
    <tableColumn id="29" xr3:uid="{00000000-0010-0000-0000-00001D000000}" name="2032 Budget" dataDxfId="29"/>
    <tableColumn id="30" xr3:uid="{00000000-0010-0000-0000-00001E000000}" name="2033 Budget" dataDxfId="28"/>
    <tableColumn id="44" xr3:uid="{C3BAB099-FE59-4DC9-9003-673EA918C89B}" name="2024 Actual" dataDxfId="27"/>
    <tableColumn id="45" xr3:uid="{92173DFE-FCFD-4498-ADBB-EFD308F07994}" name="Jan-June 2025 Actual" dataDxfId="26"/>
    <tableColumn id="43" xr3:uid="{DA1A9E1A-9917-45D9-980D-198E0B591F7D}" name="2025 Actual " dataDxfId="25"/>
    <tableColumn id="14" xr3:uid="{00000000-0010-0000-0000-00000E000000}" name="Actual Spend USD" dataDxfId="24">
      <calculatedColumnFormula>SUM(Projects[[#This Row],[2024 Actual]],Projects[[#This Row],[2025 Actual ]])</calculatedColumnFormula>
    </tableColumn>
    <tableColumn id="36" xr3:uid="{00000000-0010-0000-0000-000024000000}" name="Committed Spend USD" dataDxfId="23"/>
    <tableColumn id="39" xr3:uid="{E4DD7568-BE34-4010-BABD-6F1E7EBDC949}" name="% Spend WRP funding" dataDxfId="22">
      <calculatedColumnFormula>IF(Projects[[#This Row],[WRP Funding Allocated USD]]=0,"-",Projects[[#This Row],[Actual Spend USD]]/Projects[[#This Row],[WRP Funding Allocated USD]])</calculatedColumnFormula>
    </tableColumn>
    <tableColumn id="49" xr3:uid="{682245BC-CCA4-4481-9367-FBD0C9378FF6}" name="No. Risks (sig/severe)" dataDxfId="21"/>
    <tableColumn id="51" xr3:uid="{34F51309-3DDD-4541-8866-854E465E1C3C}" name="No. Adaptions / Changes" dataDxfId="20"/>
    <tableColumn id="52" xr3:uid="{C5A7521A-59FC-45A1-AA64-7E4AAD671348}" name="Actions Identified (Y/N)" dataDxfId="19"/>
    <tableColumn id="55" xr3:uid="{22337B10-8C8E-4D0F-95CC-DFCBDD129C10}" name="No. Actions Identified" dataDxfId="18"/>
    <tableColumn id="58" xr3:uid="{BB72F281-5BC9-4067-9571-2F9AB2432F9E}" name="No. Action Completed" dataDxfId="17"/>
    <tableColumn id="59" xr3:uid="{A5619388-6754-43E2-8AD7-5CFF92E3E269}" name="% Actions Completed" dataDxfId="16">
      <calculatedColumnFormula>Projects[[#This Row],[No. Action Completed]]/Projects[[#This Row],[No. Actions Identified]]</calculatedColumnFormula>
    </tableColumn>
    <tableColumn id="50" xr3:uid="{46D33E6B-2E4C-4E42-91C0-812AB145FEF5}" name="Sustainability Actions % Implemented" dataDxfId="15"/>
    <tableColumn id="56" xr3:uid="{FC40D3F6-719B-400A-88DD-BE03E49C857E}" name="GEDSI Actions % Implemented" dataDxfId="14"/>
    <tableColumn id="57" xr3:uid="{A2A374F6-62CB-4478-953D-1F59E448CDF2}" name="ESS Actions % Implemented" dataDxfId="13"/>
    <tableColumn id="53" xr3:uid="{44E35B2F-0012-41ED-B9C5-1FFE44520A66}" name="MERL Table Reported (Y/N)" dataDxfId="12"/>
    <tableColumn id="54" xr3:uid="{875DA9C3-B3F1-4592-8F1E-D3EC881E75AA}" name="No. Pacific Assets Registered" dataDxfId="11"/>
    <tableColumn id="46" xr3:uid="{18C64EC0-6C3F-4A46-9CDD-E17552FE8848}" name="Progress" dataDxfId="10"/>
    <tableColumn id="41" xr3:uid="{2C990188-41E6-4F30-9B45-7DB108CC399C}" name="Progress  Sep25" dataDxfId="9"/>
    <tableColumn id="42" xr3:uid="{BCCC56CC-4DB7-48AF-9509-E670132926E5}" name="% Progress" dataDxfId="8"/>
    <tableColumn id="35" xr3:uid="{00000000-0010-0000-0000-000023000000}" name="% Progress Sep25" dataDxfId="7"/>
    <tableColumn id="33" xr3:uid="{A4BF7635-9C0A-42E2-930E-4B364CC6A230}" name="Status" dataDxfId="6"/>
    <tableColumn id="13" xr3:uid="{4788AA9F-1975-4B66-81A1-36B49F9957AD}" name="Status Sep25" dataDxfId="5"/>
    <tableColumn id="4" xr3:uid="{5D1A5F24-8E32-46A2-9449-51FEDCC90EFF}" name="Comment Jan25 (financial variance 2025)" dataDxfId="4"/>
    <tableColumn id="34" xr3:uid="{00000000-0010-0000-0000-000022000000}" name="Comment Sep25"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4" dT="2025-06-28T02:43:55.35" personId="{45DEC5E9-390F-405B-B481-BAA36A18592F}" id="{FA366DC2-A323-439A-A28B-3E5C18FC144E}">
    <text>Increased $100k as CAP training moved from KRA3 to 5</text>
  </threadedComment>
  <threadedComment ref="H14" dT="2025-07-01T09:29:11.98" personId="{1674041C-5828-43C4-A872-5F98085B4D25}" id="{C463527D-0753-4812-8393-5E7EF851B5C6}">
    <text>Total increased
CAP training $100k moved from KRA3 to KRA5</text>
  </threadedComment>
  <threadedComment ref="I14" dT="2025-07-01T09:54:18.98" personId="{1674041C-5828-43C4-A872-5F98085B4D25}" id="{B918C222-A613-460B-A918-75E5144854F6}">
    <text>Total increased by 
CAP training $200k from KRA2 to 5</text>
  </threadedComment>
  <threadedComment ref="G22" dT="2025-06-28T01:47:31.30" personId="{45DEC5E9-390F-405B-B481-BAA36A18592F}" id="{72E93582-CE76-4C43-80F9-91C117D75641}">
    <text>Short term capacity development workshop $100k
CAP training - $100k moved from KRA3 to KRA5</text>
  </threadedComment>
  <threadedComment ref="H22" dT="2025-06-28T02:08:13.39" personId="{45DEC5E9-390F-405B-B481-BAA36A18592F}" id="{933A4DB9-E023-4810-BE90-56948B9A62DC}">
    <text>CAP training - $100k moved from KRA3 to KRA5</text>
  </threadedComment>
  <threadedComment ref="I22" dT="2025-06-28T02:08:09.60" personId="{45DEC5E9-390F-405B-B481-BAA36A18592F}" id="{94E753FD-D9AC-4E50-8F3C-3D18727BFD34}">
    <text>CAP training - $200k moved from KRA3 to KRA5
Merged with QMS training 980k</text>
  </threadedComment>
  <threadedComment ref="H26" dT="2025-07-04T02:41:18.96" personId="{1674041C-5828-43C4-A872-5F98085B4D25}" id="{A1275A80-1388-4D27-9B8C-C19641D0D84B}">
    <text>Total reduced by
Moved ICT infrastructure with cybersecurity to KRA4 $700k</text>
  </threadedComment>
  <threadedComment ref="I26" dT="2025-07-04T02:42:53.02" personId="{1674041C-5828-43C4-A872-5F98085B4D25}" id="{F437EAD1-9471-4512-AC35-EFF9FB7E1611}">
    <text>Reduced by
ICT infrastructure, cybersecurity, forecaster workstations to KRA4 $7.22M</text>
  </threadedComment>
  <threadedComment ref="G30" dT="2025-06-28T02:16:02.73" personId="{45DEC5E9-390F-405B-B481-BAA36A18592F}" id="{C473FBE4-CB13-4970-97EF-04CA4FBD6B32}">
    <text>$1M network plans
50k regional principles and standards</text>
  </threadedComment>
  <threadedComment ref="H32" dT="2025-07-01T09:50:04.18" personId="{1674041C-5828-43C4-A872-5F98085B4D25}" id="{E3434CAD-DE46-49E5-9062-FF373ED48BB9}">
    <text>cost of SPC staff only. 
Asset management and maintenance staff not budgeted originally.</text>
  </threadedComment>
  <threadedComment ref="I32" dT="2025-07-01T09:49:46.34" personId="{1674041C-5828-43C4-A872-5F98085B4D25}" id="{2C88F379-7DB3-4E40-8C49-CF12435DCEAF}">
    <text>cost of SPC staff only. 
Asset management and maintenance staff not budgeted originally.</text>
  </threadedComment>
  <threadedComment ref="I33" dT="2025-06-28T02:29:08.72" personId="{45DEC5E9-390F-405B-B481-BAA36A18592F}" id="{1BA1E7EE-4AE7-4339-A0BB-B92B21C4E5B1}">
    <text>Reduced by $1M and move to network plans above</text>
  </threadedComment>
  <threadedComment ref="F36" dT="2025-06-25T05:15:58.30" personId="{45DEC5E9-390F-405B-B481-BAA36A18592F}" id="{329D15C7-CE35-496C-8577-0F4D61EFF597}">
    <text>Check with SPC if they prefer this terminology of ocean monitoring rather than be specific to wave buoys, as there is a lot of technology options</text>
  </threadedComment>
  <threadedComment ref="H40" dT="2025-07-01T10:12:58.50" personId="{1674041C-5828-43C4-A872-5F98085B4D25}" id="{8D914034-729E-4EC2-BACD-0449BDC56E8B}">
    <text>Added ICT infrastructure with cybersecurity from KRA4 $700k</text>
  </threadedComment>
  <threadedComment ref="I40" dT="2025-07-01T10:15:56.23" personId="{1674041C-5828-43C4-A872-5F98085B4D25}" id="{4F2437A8-7E1D-4331-B757-53523C744051}">
    <text>Added ICT infrastructure and cybersecurity and forecaster workstations $7.22M</text>
  </threadedComment>
  <threadedComment ref="H42" dT="2025-06-28T01:02:38.85" personId="{45DEC5E9-390F-405B-B481-BAA36A18592F}" id="{DF355B5E-02EC-4619-8602-7E5967D0A165}">
    <text>IFP - $100k
WIS - $200k
High accessibility ICT infrastructure with cybersecurity $700k from KRA4</text>
  </threadedComment>
  <threadedComment ref="I42" dT="2025-06-28T02:34:32.97" personId="{45DEC5E9-390F-405B-B481-BAA36A18592F}" id="{B1F83D0A-3031-403D-8DDC-F3D945B743D9}">
    <text>IFP $11M 
ICT infrastructure with cybersecurity, standalone forecaster work stations and technical workshops $7.22M transferred from KRA4</text>
  </threadedComment>
  <threadedComment ref="G50" dT="2025-07-04T02:19:47.27" personId="{1674041C-5828-43C4-A872-5F98085B4D25}" id="{651D0245-09B2-4BFD-8E51-8E8F0CC15172}">
    <text>Moved CAP training $100k to KRA2 people capability, so total reduced</text>
  </threadedComment>
  <threadedComment ref="H50" dT="2025-06-28T02:00:23.99" personId="{45DEC5E9-390F-405B-B481-BAA36A18592F}" id="{3AA39810-CBD3-4A0F-ACB7-637DC7678051}">
    <text>Moved CAP training $100k to KRA5, so total reduced by $100k</text>
  </threadedComment>
  <threadedComment ref="I50" dT="2025-06-28T02:00:23.99" personId="{45DEC5E9-390F-405B-B481-BAA36A18592F}" id="{33D512AC-A3B0-4914-9039-5D4104EAB03C}">
    <text>Moved CAP training $200k to KRA5, so total reduced by $200k</text>
  </threadedComment>
  <threadedComment ref="G52" dT="2025-07-04T02:19:07.00" personId="{1674041C-5828-43C4-A872-5F98085B4D25}" id="{7D3408BD-9714-4D73-8F93-0403ECEBEDE5}">
    <text>National workshops 500k
Regional workshop 160k
Engagement strategy vulnerable groups 50k</text>
  </threadedComment>
  <threadedComment ref="H52" dT="2025-06-28T01:46:26.87" personId="{45DEC5E9-390F-405B-B481-BAA36A18592F}" id="{1166E1B1-03D1-46F6-9B58-B0E45DC192E9}">
    <text>National workshops 500k
Regional workshop 160k</text>
  </threadedComment>
  <threadedComment ref="I52" dT="2025-06-28T01:46:26.87" personId="{45DEC5E9-390F-405B-B481-BAA36A18592F}" id="{C12DC430-85B6-444C-9EB2-CB0D33416743}">
    <text>National workshops 500k
Regional workshop 160k</text>
  </threadedComment>
  <threadedComment ref="I54" dT="2025-07-04T08:22:17.26" personId="{1674041C-5828-43C4-A872-5F98085B4D25}" id="{25A247B7-6473-4563-A8F8-BF7B531C0F25}">
    <text>combined
delivery of impact based message $3.93M
review of end user response $500k</text>
  </threadedComment>
  <threadedComment ref="F56" dT="2025-07-07T07:47:17.77" personId="{1674041C-5828-43C4-A872-5F98085B4D25}" id="{8F22DDC8-C2DC-46F3-8FCE-BE771476DF63}">
    <text>tools, channels? instead of approaches</text>
  </threadedComment>
</ThreadedComments>
</file>

<file path=xl/threadedComments/threadedComment2.xml><?xml version="1.0" encoding="utf-8"?>
<ThreadedComments xmlns="http://schemas.microsoft.com/office/spreadsheetml/2018/threadedcomments" xmlns:x="http://schemas.openxmlformats.org/spreadsheetml/2006/main">
  <threadedComment ref="AP1" dT="2026-05-14T23:38:15.26" personId="{6DA1330C-1C38-4752-B018-8268ECEB3B6E}" id="{6CD9E983-9494-4CE8-A808-65B816084735}">
    <text>SPREP expenditure based on internal finance system (not executing agency spend)</text>
  </threadedComment>
  <threadedComment ref="AQ1" dT="2025-06-27T06:54:49.71" personId="{45DEC5E9-390F-405B-B481-BAA36A18592F}" id="{355B4786-2D86-4FCE-B652-DE4D1F8BAC34}">
    <text>To be populated by WRP Finance Manager monthly, to a project level.</text>
  </threadedComment>
  <threadedComment ref="AR1" dT="2025-06-27T06:54:55.23" personId="{45DEC5E9-390F-405B-B481-BAA36A18592F}" id="{4646DCF6-6DC7-4ADE-B81B-9CAC28212C06}">
    <text>To be populated by WRP Finance Manager monthly, to a project level.</text>
  </threadedComment>
  <threadedComment ref="AV1" dT="2025-11-19T01:36:04.00" personId="{1674041C-5828-43C4-A872-5F98085B4D25}" id="{6337E798-7B61-409F-BBAE-F37FF4C81DDC}">
    <text>These are from the Sustainability, GESDI and ESS action plan</text>
  </threadedComment>
  <threadedComment ref="AT2" dT="2025-12-03T07:32:14.21" personId="{1674041C-5828-43C4-A872-5F98085B4D25}" id="{6E03C776-0660-4A22-962A-297B8EE6512E}">
    <text>All these numbers in red a dummy numbers for illustration purposes  only.</text>
  </threadedComment>
  <threadedComment ref="AD3" dT="2026-05-18T04:25:20.72" personId="{45DEC5E9-390F-405B-B481-BAA36A18592F}" id="{CB700552-7C93-4C49-9886-08F54A882475}">
    <text>Previous design cost. Old MFAT contrct</text>
  </threadedComment>
  <threadedComment ref="AD3" dT="2026-05-30T00:56:21.45" personId="{45DEC5E9-390F-405B-B481-BAA36A18592F}" id="{25106744-9E7E-4C15-A181-96FF101FCB60}" parentId="{CB700552-7C93-4C49-9886-08F54A882475}">
    <text>187,106 previous value in error</text>
  </threadedComment>
  <threadedComment ref="AE3" dT="2026-05-18T04:37:03.80" personId="{45DEC5E9-390F-405B-B481-BAA36A18592F}" id="{703C6D8E-37EF-46EC-87CF-050446A728C6}">
    <text>Includes previous design cost project</text>
  </threadedComment>
  <threadedComment ref="AE3" dT="2026-05-30T00:58:21.65" personId="{45DEC5E9-390F-405B-B481-BAA36A18592F}" id="{3D58FFCB-51EC-4976-B14E-AFDB94AA155F}" parentId="{703C6D8E-37EF-46EC-87CF-050446A728C6}">
    <text>420,982 previous figure in error</text>
  </threadedComment>
  <threadedComment ref="V4" dT="2025-08-06T04:38:57.44" personId="{1674041C-5828-43C4-A872-5F98085B4D25}" id="{377A407A-0944-482B-B953-2D3851754E42}">
    <text>funds transferred from M&amp;E workshop to here.</text>
  </threadedComment>
  <threadedComment ref="AE6" dT="2025-06-28T04:24:40.92" personId="{45DEC5E9-390F-405B-B481-BAA36A18592F}" id="{3642D2AC-6BA5-4176-882B-D122938CC0ED}">
    <text>Based on budget estimate in wiser submission</text>
  </threadedComment>
  <threadedComment ref="AE6" dT="2025-08-04T03:51:57.31" personId="{1674041C-5828-43C4-A872-5F98085B4D25}" id="{DB04B5F6-578F-43AA-9631-406C9DC8F79D}" parentId="{3642D2AC-6BA5-4176-882B-D122938CC0ED}">
    <text>Sue 3 months contract extension to be covered by UK WISER</text>
  </threadedComment>
  <threadedComment ref="AF6" dT="2025-06-28T04:24:45.59" personId="{45DEC5E9-390F-405B-B481-BAA36A18592F}" id="{D24197D1-CF9B-46B8-83DE-78221189628E}">
    <text>Based on budget estimate in wiser submission</text>
  </threadedComment>
  <threadedComment ref="AE8" dT="2025-06-28T04:24:29.21" personId="{45DEC5E9-390F-405B-B481-BAA36A18592F}" id="{8DD1337A-C42F-4A97-B7C4-D0FB691FE249}">
    <text>Based on budget estimate in wiser submission</text>
  </threadedComment>
  <threadedComment ref="AF8" dT="2025-06-28T04:24:34.47" personId="{45DEC5E9-390F-405B-B481-BAA36A18592F}" id="{5CB8B2A7-240F-4592-8A20-663A885C0B70}">
    <text>Based on budget estimate in wiser submission</text>
  </threadedComment>
  <threadedComment ref="AE9" dT="2025-06-28T04:23:46.54" personId="{45DEC5E9-390F-405B-B481-BAA36A18592F}" id="{DB47614E-8932-4210-B257-11B2525CFF90}">
    <text>Based on budget estimate in wiser submission. Includes the travel cost for the PMU resources</text>
  </threadedComment>
  <threadedComment ref="AH12" dT="2025-09-18T08:13:25.05" personId="{1674041C-5828-43C4-A872-5F98085B4D25}" id="{6669A189-5837-461B-B49B-364E9A96396A}">
    <text>Need 200k more to complete phase 2</text>
  </threadedComment>
  <threadedComment ref="V13" dT="2025-06-16T09:26:36.91" personId="{1F41802F-E90A-45E0-B3F4-C5A12BFFFE30}" id="{D8EFB01F-AB38-4AF9-A5C3-66FACDCEF576}">
    <text>Agreed at PSC that this will not go ahead in this way</text>
  </threadedComment>
  <threadedComment ref="AE18" dT="2025-08-01T05:57:39.29" personId="{1674041C-5828-43C4-A872-5F98085B4D25}" id="{08584D40-898D-4165-9E10-9299C629B9E1}">
    <text>Unclear if budget is required or if NZMet can do this in their current funding envelop.</text>
  </threadedComment>
  <threadedComment ref="X20" dT="2026-05-19T04:02:30.95" personId="{45DEC5E9-390F-405B-B481-BAA36A18592F}" id="{C039A359-1841-40F0-A54B-0A436DB6AD60}">
    <text>In kind time from Kat</text>
  </threadedComment>
  <threadedComment ref="AE20" dT="2026-05-19T00:30:35.50" personId="{45DEC5E9-390F-405B-B481-BAA36A18592F}" id="{12396A00-4510-42CC-94C0-D46EBB5C278A}">
    <text>WRP MERL and Sustainability Framework Lead contract from 9 April 2025 with Completion Report submitted 29 December 2025 (i.e. 100% complete last year). Value USD 57,948 (if using a 0.58 conversion as the contract was in NZD). This included travel expenses from May last year. (From Kat)</text>
  </threadedComment>
  <threadedComment ref="AF20" dT="2026-05-19T00:30:20.30" personId="{45DEC5E9-390F-405B-B481-BAA36A18592F}" id="{C87F5DEA-815E-4D9E-B631-0317328EE7BD}">
    <text>WRP MERL Framework Implementation Support contract from 5 December 2025, with the Completion Report submitted 7 May 2026 (100% completed). Value USD 20,486 (if using a 0.58 conversion rate). Travel expenses for the planning day were not included in this contract as they were covered by ADB directly. Note - this did not include any sustainability work. (From Kat)</text>
  </threadedComment>
  <threadedComment ref="AE35" dT="2026-05-18T04:42:25.80" personId="{45DEC5E9-390F-405B-B481-BAA36A18592F}" id="{256EADE0-297A-4961-9179-5A6D829EE1A8}">
    <text>Actual spend</text>
  </threadedComment>
  <threadedComment ref="AF39" dT="2025-09-18T09:28:06.10" personId="{1674041C-5828-43C4-A872-5F98085B4D25}" id="{D9A5E955-E468-480E-8C24-2B965776B82A}">
    <text>moved 2028 to 2026 for PMC</text>
  </threadedComment>
  <threadedComment ref="AE43" dT="2025-08-09T00:59:18.53" personId="{1674041C-5828-43C4-A872-5F98085B4D25}" id="{462AAE0C-4AD5-48E6-B14B-A1573B314C92}">
    <text>removed budget as MFAT budget allocated for 2025, 2026, 2027</text>
  </threadedComment>
  <threadedComment ref="AF43" dT="2025-08-09T00:59:18.53" personId="{1674041C-5828-43C4-A872-5F98085B4D25}" id="{75234E43-0CB6-434D-A523-1FA596EE88DA}">
    <text>removed budget as MFAT budget allocated for 2025, 2026, 2027</text>
  </threadedComment>
  <threadedComment ref="AG43" dT="2025-08-09T00:59:18.53" personId="{1674041C-5828-43C4-A872-5F98085B4D25}" id="{9988A9B3-6948-4A7E-9261-274DF71F2722}">
    <text>removed budget as MFAT budget allocated for 2025, 2026, 2027</text>
  </threadedComment>
  <threadedComment ref="H49" dT="2025-11-15T00:14:25.36" personId="{1674041C-5828-43C4-A872-5F98085B4D25}" id="{46C77544-AF8D-4636-9BEA-4C951FCE3C49}">
    <text>removed task number as funding doesn't come through WRP, it's direct from MFAT to NZmet</text>
  </threadedComment>
  <threadedComment ref="AE53" dT="2025-08-26T04:57:21.70" personId="{45DEC5E9-390F-405B-B481-BAA36A18592F}" id="{5C6140CF-C041-4734-B4AD-B1BDD3EF1A3E}">
    <text>Add missing cost of accommodation, travel and stipend approx. USD65k</text>
  </threadedComment>
  <threadedComment ref="AF54" dT="2025-08-26T04:00:40.57" personId="{45DEC5E9-390F-405B-B481-BAA36A18592F}" id="{907FBA9A-798E-4E60-9B70-3CE32CB5242F}">
    <text>Previously budgeted AUD 150k, but updated for more accurate figures 4 ppl.</text>
  </threadedComment>
  <threadedComment ref="AG54" dT="2025-08-26T04:00:40.57" personId="{45DEC5E9-390F-405B-B481-BAA36A18592F}" id="{164F1019-83B4-4D12-BF13-FB5560EB124D}">
    <text>Previously budgeted AUD 150k, but updated for more accurate figures 4 ppl.</text>
  </threadedComment>
  <threadedComment ref="AE55" dT="2025-08-26T03:54:17.37" personId="{45DEC5E9-390F-405B-B481-BAA36A18592F}" id="{F1DEB4C9-EB86-43DC-ADC8-E8FBCC16AD08}">
    <text>Previously had AUD50k budgeted. Updated to reflect more accurate cost and proposing every 2 years.</text>
  </threadedComment>
  <threadedComment ref="AG55" dT="2025-08-26T03:54:17.37" personId="{45DEC5E9-390F-405B-B481-BAA36A18592F}" id="{D73F5B86-6732-43E2-B22F-25B61103F9A2}">
    <text>Previously had AUD50k budgeted. Updated to reflect more accurate cost and proposing every 2 years.</text>
  </threadedComment>
  <threadedComment ref="AF58" dT="2026-05-19T04:43:28.09" personId="{45DEC5E9-390F-405B-B481-BAA36A18592F}" id="{A7D5B53C-F693-4E98-8DA8-00E44AED25AA}">
    <text>Moved $100k out of the $300k to 1.3.1 sustainable financing facility.</text>
  </threadedComment>
  <threadedComment ref="AF62" dT="2025-08-01T04:56:57.08" personId="{1674041C-5828-43C4-A872-5F98085B4D25}" id="{CE0E889A-B7B4-4AF8-A253-6573A3D4F5BB}">
    <text>updated from latest concept note from SPC - AUD$20k</text>
  </threadedComment>
  <threadedComment ref="AE63" dT="2025-08-01T04:57:20.36" personId="{1674041C-5828-43C4-A872-5F98085B4D25}" id="{0F4F4CA6-E55D-49A3-96F0-2F9D9CB59D5E}">
    <text>updated from latest concept note from SPC - AUD$1.2mill</text>
  </threadedComment>
  <threadedComment ref="G65" dT="2025-11-14T22:30:15.49" personId="{1674041C-5828-43C4-A872-5F98085B4D25}" id="{1D546ADF-6E30-41BB-AAFD-1149FE6ECC62}">
    <text>over-ridden default number for readiness fund</text>
  </threadedComment>
  <threadedComment ref="AE72" dT="2025-06-28T04:23:24.73" personId="{45DEC5E9-390F-405B-B481-BAA36A18592F}" id="{9691A961-5E94-4778-9204-1022700ACDB0}">
    <text>Based on budget estimate in wiser submission. However did not add 12% on this cost, so it’s under-budgeted if SPREP charges fees on top.</text>
  </threadedComment>
  <threadedComment ref="AF72" dT="2025-06-28T04:23:29.24" personId="{45DEC5E9-390F-405B-B481-BAA36A18592F}" id="{2451D568-E7C4-4BD1-B022-180B9E5AD463}">
    <text>Based on budget estimate in wiser submission. However did not add 12% on this cost, so it’s under-budgeted if SPREP charges fees on top.</text>
  </threadedComment>
  <threadedComment ref="AF77" dT="2025-08-25T03:52:31.73" personId="{45DEC5E9-390F-405B-B481-BAA36A18592F}" id="{8D86CCD7-E90D-455D-9160-311E3FCC80D9}">
    <text>Budgeted - 23532/1.15 - deferred recruitment of forecasting advisor as focus on other KRAs</text>
  </threadedComment>
  <threadedComment ref="AF88" dT="2025-08-25T03:52:47.11" personId="{45DEC5E9-390F-405B-B481-BAA36A18592F}" id="{46014AF0-F89B-4176-9266-AE0C3FA1701F}">
    <text>Budgeted 62180/1.15- deferred recruitment of forecasting advisor as focus on other KRAs</text>
  </threadedComment>
  <threadedComment ref="AF96" dT="2025-08-01T04:56:02.22" personId="{1674041C-5828-43C4-A872-5F98085B4D25}" id="{50D4FD10-6C4E-46C2-BE54-FC2D45E4B5CB}">
    <text>updated to AUD150k, and removed from hydrology database</text>
  </threadedComment>
  <threadedComment ref="AF102" dT="2026-05-19T04:42:38.08" personId="{45DEC5E9-390F-405B-B481-BAA36A18592F}" id="{0D4CB4F4-CA27-4C07-9594-24A00D014B6D}">
    <text>Moved$100k from 3.1.1 asset management capability, plans and lifecycle cost to here.</text>
  </threadedComment>
  <threadedComment ref="AJ106" dT="2025-07-02T01:12:22.01" personId="{1674041C-5828-43C4-A872-5F98085B4D25}" id="{940974D8-B3CF-4F0A-BE34-175B62BAA9C9}">
    <text>Kat recommended budgeting 135000 in 2030</text>
  </threadedComment>
  <threadedComment ref="AM106" dT="2025-07-02T01:13:02.55" personId="{1674041C-5828-43C4-A872-5F98085B4D25}" id="{E9A1B786-A288-48E6-91A1-9A0A3A52C19F}">
    <text>Kat recommended budgeting 150000 in 2033</text>
  </threadedComment>
  <threadedComment ref="AE114" dT="2025-08-28T10:06:14.47" personId="{45DEC5E9-390F-405B-B481-BAA36A18592F}" id="{7FC06066-2F08-4638-8897-A5A98A5DB607}">
    <text>Reprioritsied budget from impact based forecasting to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H14" dT="2025-07-01T10:12:58.50" personId="{1674041C-5828-43C4-A872-5F98085B4D25}" id="{F36E8513-6AC0-426C-AD03-31EB4BD199C5}">
    <text>Added ICT infrastructure with cybersecurity from KRA4 $700k</text>
  </threadedComment>
  <threadedComment ref="I14" dT="2025-07-01T10:15:56.23" personId="{1674041C-5828-43C4-A872-5F98085B4D25}" id="{C418275A-03A6-404B-9DDB-DA4B1763D22B}">
    <text>Added ICT infrastructure and cybersecurity and forecaster workstations $7.22M</text>
  </threadedComment>
  <threadedComment ref="H16" dT="2025-06-28T01:02:38.85" personId="{45DEC5E9-390F-405B-B481-BAA36A18592F}" id="{26D8816C-9CB6-4361-B759-950719485AF9}">
    <text>IFP - $100k
WIS - $200k
High accessibility ICT infrastructure with cybersecurity $700k from KRA4</text>
  </threadedComment>
  <threadedComment ref="I16" dT="2025-06-28T02:34:32.97" personId="{45DEC5E9-390F-405B-B481-BAA36A18592F}" id="{965491B5-F1F1-4D12-B29F-5E5D66B3AFEC}">
    <text>IFP $11M 
ICT infrastructure with cybersecurity, standalone forecaster work stations and technical workshops $7.22M transferred from KRA4</text>
  </threadedComment>
  <threadedComment ref="G24" dT="2025-07-04T02:19:47.27" personId="{1674041C-5828-43C4-A872-5F98085B4D25}" id="{F41B1953-D15D-48C5-84CA-18E1A4BB8BC6}">
    <text>Moved CAP training $100k to KRA2 people capability, so total reduced</text>
  </threadedComment>
  <threadedComment ref="H24" dT="2025-06-28T02:00:23.99" personId="{45DEC5E9-390F-405B-B481-BAA36A18592F}" id="{B6CBB9E3-C984-4FF0-8698-04DE40DC8623}">
    <text>Moved CAP training $100k to KRA5, so total reduced by $100k</text>
  </threadedComment>
  <threadedComment ref="I24" dT="2025-06-28T02:00:23.99" personId="{45DEC5E9-390F-405B-B481-BAA36A18592F}" id="{8BCEBDFB-9BCB-45D5-BD7C-523E8477BCF2}">
    <text>Moved CAP training $200k to KRA5, so total reduced by $200k</text>
  </threadedComment>
  <threadedComment ref="G26" dT="2025-07-04T02:19:07.00" personId="{1674041C-5828-43C4-A872-5F98085B4D25}" id="{B7AE2EC2-60EF-401E-A6C5-51C6D6667530}">
    <text>National workshops 500k
Regional workshop 160k
Engagement strategy vulnerable groups 50k</text>
  </threadedComment>
  <threadedComment ref="H26" dT="2025-06-28T01:46:26.87" personId="{45DEC5E9-390F-405B-B481-BAA36A18592F}" id="{08CB1CD8-BA8D-446D-8B9F-857E3A25757F}">
    <text>National workshops 500k
Regional workshop 160k</text>
  </threadedComment>
  <threadedComment ref="I26" dT="2025-06-28T01:46:26.87" personId="{45DEC5E9-390F-405B-B481-BAA36A18592F}" id="{0BE784BA-2138-415B-B528-53463BCC632C}">
    <text>National workshops 500k
Regional workshop 160k</text>
  </threadedComment>
  <threadedComment ref="I28" dT="2025-07-04T08:22:17.26" personId="{1674041C-5828-43C4-A872-5F98085B4D25}" id="{3DFE1EEF-A35D-4C8C-8FC4-F168E6082F89}">
    <text>combined
delivery of impact based message $3.93M
review of end user response $500k</text>
  </threadedComment>
  <threadedComment ref="F30" dT="2025-07-07T07:47:17.77" personId="{1674041C-5828-43C4-A872-5F98085B4D25}" id="{2B83A91C-53CB-4116-96BA-DBEF2C1760F9}">
    <text>tools, channels? instead of approaches</text>
  </threadedComment>
  <threadedComment ref="H33" dT="2025-07-04T02:41:18.96" personId="{1674041C-5828-43C4-A872-5F98085B4D25}" id="{6B52A337-F1C6-4941-A739-D7A986A1FDED}">
    <text>Total reduced by
Moved ICT infrastructure with cybersecurity to KRA4 $700k</text>
  </threadedComment>
  <threadedComment ref="I33" dT="2025-07-04T02:42:53.02" personId="{1674041C-5828-43C4-A872-5F98085B4D25}" id="{8F570C47-D5B7-4F85-BA8C-59CFFE19DCD6}">
    <text>Reduced by
ICT infrastructure, cybersecurity, forecaster workstations to KRA4 $7.22M</text>
  </threadedComment>
  <threadedComment ref="G37" dT="2025-06-28T02:16:02.73" personId="{45DEC5E9-390F-405B-B481-BAA36A18592F}" id="{FCC3276D-BAE5-4022-85AF-A6CBC5C10A68}">
    <text>$1M network plans
50k regional principles and standards</text>
  </threadedComment>
  <threadedComment ref="H39" dT="2025-07-01T09:50:04.18" personId="{1674041C-5828-43C4-A872-5F98085B4D25}" id="{D5CC33CF-0169-4595-A2F4-486AFD743241}">
    <text>cost of SPC staff only. 
Asset management and maintenance staff not budgeted originally.</text>
  </threadedComment>
  <threadedComment ref="I39" dT="2025-07-01T09:49:46.34" personId="{1674041C-5828-43C4-A872-5F98085B4D25}" id="{016DD774-4FD8-4D4D-A636-30DFD89C1A24}">
    <text>cost of SPC staff only. 
Asset management and maintenance staff not budgeted originally.</text>
  </threadedComment>
  <threadedComment ref="I40" dT="2025-06-28T02:29:08.72" personId="{45DEC5E9-390F-405B-B481-BAA36A18592F}" id="{698E1B3F-1BCC-4852-B196-570B2E00052E}">
    <text>Reduced by $1M and move to network plans above</text>
  </threadedComment>
  <threadedComment ref="F43" dT="2025-06-25T05:15:58.30" personId="{45DEC5E9-390F-405B-B481-BAA36A18592F}" id="{C216660A-02A3-4E35-A1DC-ABF09D86BA89}">
    <text>Check with SPC if they prefer this terminology of ocean monitoring rather than be specific to wave buoys, as there is a lot of technology options</text>
  </threadedComment>
  <threadedComment ref="G47" dT="2025-06-28T02:43:55.35" personId="{45DEC5E9-390F-405B-B481-BAA36A18592F}" id="{5C814776-4436-4E96-87D2-7D5CF5396BEE}">
    <text>Increased $100k as CAP training moved from KRA3 to 5</text>
  </threadedComment>
  <threadedComment ref="H47" dT="2025-07-01T09:29:11.98" personId="{1674041C-5828-43C4-A872-5F98085B4D25}" id="{071690C4-533B-438D-A132-93327BEDE3FD}">
    <text>Total increased
CAP training $100k moved from KRA3 to KRA5</text>
  </threadedComment>
  <threadedComment ref="I47" dT="2025-07-01T09:54:18.98" personId="{1674041C-5828-43C4-A872-5F98085B4D25}" id="{EED388C8-8A29-458F-98B4-1438AC45F1D4}">
    <text>Total increased by 
CAP training $200k from KRA2 to 5</text>
  </threadedComment>
  <threadedComment ref="G55" dT="2025-06-28T01:47:31.30" personId="{45DEC5E9-390F-405B-B481-BAA36A18592F}" id="{385478B4-2DCE-4E1A-8350-E883B3058563}">
    <text>Short term capacity development workshop $100k
CAP training - $100k moved from KRA3 to KRA5</text>
  </threadedComment>
  <threadedComment ref="H55" dT="2025-06-28T02:08:13.39" personId="{45DEC5E9-390F-405B-B481-BAA36A18592F}" id="{8FAD5457-0594-45F9-964B-5830D2AB81C3}">
    <text>CAP training - $100k moved from KRA3 to KRA5</text>
  </threadedComment>
  <threadedComment ref="I55" dT="2025-06-28T02:08:09.60" personId="{45DEC5E9-390F-405B-B481-BAA36A18592F}" id="{A01179D1-DDE5-4B40-A0E6-E49127452CBA}">
    <text>CAP training - $200k moved from KRA3 to KRA5
Merged with QMS training 980k</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f:/r/sites/WRPSharedFolder/Shared%20Documents/WRP%20Programme%20Delivery/Concept%20Notes?csf=1&amp;web=1&amp;e=w3mia7" TargetMode="External"/><Relationship Id="rId7" Type="http://schemas.openxmlformats.org/officeDocument/2006/relationships/vmlDrawing" Target="../drawings/vmlDrawing2.vml"/><Relationship Id="rId2" Type="http://schemas.openxmlformats.org/officeDocument/2006/relationships/hyperlink" Target="../../../../../:f:/r/sites/WRPSharedFolder/Shared%20Documents/WRP%20Programme%20Delivery/Concept%20Notes?csf=1&amp;web=1&amp;e=pLw3EA" TargetMode="External"/><Relationship Id="rId1" Type="http://schemas.openxmlformats.org/officeDocument/2006/relationships/hyperlink" Target="../../../../../:w:/r/sites/WRPSharedFolder/Shared%20Documents/WRP%20Programme%20Delivery/Concept%20Notes/2501%20CN_IFP%20Peer%20Review%20and%20ICT%20Architecture%20Concept%20Design_draft%20110625.docx?d=wd7edfd6065d74354bf0f00fee58bd691&amp;csf=1&amp;web=1&amp;e=DiBruP" TargetMode="External"/><Relationship Id="rId6" Type="http://schemas.openxmlformats.org/officeDocument/2006/relationships/printerSettings" Target="../printerSettings/printerSettings1.bin"/><Relationship Id="rId5" Type="http://schemas.openxmlformats.org/officeDocument/2006/relationships/hyperlink" Target="../../../../../:f:/r/sites/WRPSharedFolder/Shared%20Documents/WRP%20Programme%20Delivery/Concept%20Notes?csf=1&amp;web=1&amp;e=UMcxLC" TargetMode="External"/><Relationship Id="rId10" Type="http://schemas.microsoft.com/office/2017/10/relationships/threadedComment" Target="../threadedComments/threadedComment2.xml"/><Relationship Id="rId4" Type="http://schemas.openxmlformats.org/officeDocument/2006/relationships/hyperlink" Target="../../../../../:f:/r/sites/WRPSharedFolder/Shared%20Documents/WRP%20Programme%20Delivery/Concept%20Notes?csf=1&amp;web=1&amp;e=w3mia7"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B753-1941-406C-9DE1-8DC0946FA367}">
  <sheetPr>
    <pageSetUpPr fitToPage="1"/>
  </sheetPr>
  <dimension ref="A1:AB68"/>
  <sheetViews>
    <sheetView showGridLines="0" topLeftCell="A46" zoomScale="80" zoomScaleNormal="80" workbookViewId="0">
      <selection activeCell="F44" sqref="F44"/>
    </sheetView>
  </sheetViews>
  <sheetFormatPr defaultColWidth="8.5703125" defaultRowHeight="15" customHeight="1" outlineLevelCol="1"/>
  <cols>
    <col min="1" max="1" width="4.5703125" style="117" customWidth="1"/>
    <col min="2" max="2" width="2.7109375" style="88" hidden="1" customWidth="1"/>
    <col min="3" max="3" width="39.5703125" style="88" hidden="1" customWidth="1"/>
    <col min="4" max="4" width="6.7109375" style="88" hidden="1" customWidth="1"/>
    <col min="5" max="5" width="8.5703125" style="88" customWidth="1"/>
    <col min="6" max="6" width="55.140625" style="117" customWidth="1"/>
    <col min="7" max="7" width="15.42578125" style="1" hidden="1" customWidth="1" outlineLevel="1"/>
    <col min="8" max="8" width="14.42578125" style="1" hidden="1" customWidth="1" outlineLevel="1"/>
    <col min="9" max="9" width="15.5703125" style="1" customWidth="1" collapsed="1"/>
    <col min="10" max="10" width="1.7109375" style="1" customWidth="1"/>
    <col min="11" max="11" width="2.42578125" style="12" customWidth="1"/>
    <col min="12" max="12" width="8.5703125" style="27" hidden="1" customWidth="1" outlineLevel="1"/>
    <col min="13" max="13" width="14.28515625" style="35" hidden="1" customWidth="1" outlineLevel="1"/>
    <col min="14" max="14" width="17.42578125" style="1" customWidth="1" collapsed="1"/>
    <col min="15" max="15" width="2.28515625" style="1" customWidth="1"/>
    <col min="16" max="16" width="9" style="1" customWidth="1"/>
    <col min="17" max="17" width="9.5703125" style="1" customWidth="1"/>
    <col min="18" max="18" width="8.7109375" style="1" customWidth="1"/>
    <col min="19" max="19" width="7.7109375" style="1" customWidth="1"/>
    <col min="20" max="20" width="8.28515625" style="1" customWidth="1"/>
    <col min="21" max="22" width="8.5703125" style="1" customWidth="1"/>
    <col min="23" max="23" width="63.42578125" style="1" hidden="1" customWidth="1"/>
    <col min="24" max="24" width="40.42578125" style="1" customWidth="1"/>
    <col min="25" max="25" width="36.42578125" style="1" customWidth="1"/>
    <col min="26" max="26" width="15" style="1" customWidth="1"/>
    <col min="27" max="27" width="9.5703125" style="1" customWidth="1"/>
    <col min="28" max="28" width="13.5703125" style="1" customWidth="1"/>
    <col min="29" max="16384" width="8.5703125" style="1"/>
  </cols>
  <sheetData>
    <row r="1" spans="1:28" s="3" customFormat="1" ht="54.75" customHeight="1">
      <c r="A1" s="79" t="s">
        <v>0</v>
      </c>
      <c r="B1" s="50"/>
      <c r="C1" s="80"/>
      <c r="D1" s="80" t="s">
        <v>1</v>
      </c>
      <c r="E1" s="80" t="s">
        <v>2</v>
      </c>
      <c r="F1" s="79" t="s">
        <v>3</v>
      </c>
      <c r="G1" s="82" t="s">
        <v>4</v>
      </c>
      <c r="H1" s="82" t="s">
        <v>5</v>
      </c>
      <c r="I1" s="81" t="s">
        <v>6</v>
      </c>
      <c r="J1" s="82"/>
      <c r="K1" s="83"/>
      <c r="L1" s="84" t="s">
        <v>7</v>
      </c>
      <c r="M1" s="85" t="s">
        <v>8</v>
      </c>
      <c r="N1" s="81" t="s">
        <v>9</v>
      </c>
      <c r="O1" s="79"/>
      <c r="P1" s="133" t="s">
        <v>10</v>
      </c>
      <c r="Q1" s="81" t="s">
        <v>11</v>
      </c>
      <c r="R1" s="81">
        <v>2026</v>
      </c>
      <c r="S1" s="81">
        <v>2027</v>
      </c>
      <c r="T1" s="81">
        <v>2028</v>
      </c>
      <c r="U1" s="81">
        <v>2029</v>
      </c>
      <c r="W1" s="1" t="s">
        <v>12</v>
      </c>
      <c r="X1" s="1"/>
      <c r="Y1" s="1"/>
    </row>
    <row r="2" spans="1:28" ht="17.25">
      <c r="A2" s="202" t="s">
        <v>13</v>
      </c>
      <c r="B2" s="203"/>
      <c r="C2" s="203"/>
      <c r="D2" s="203"/>
      <c r="E2" s="203"/>
      <c r="F2" s="204"/>
      <c r="G2" s="205">
        <f>SUM(G4:G13)</f>
        <v>2340000</v>
      </c>
      <c r="H2" s="205">
        <f t="shared" ref="H2" si="0">SUM(H4:H13)</f>
        <v>10150000</v>
      </c>
      <c r="I2" s="206">
        <f>SUM(I4:I13)</f>
        <v>20310</v>
      </c>
      <c r="J2" s="207"/>
      <c r="K2" s="8"/>
      <c r="L2" s="25">
        <f>M2/I2</f>
        <v>418.85408724552053</v>
      </c>
      <c r="M2" s="52">
        <f>SUM(M4:M13)</f>
        <v>8506926.5119565222</v>
      </c>
      <c r="N2" s="130">
        <f>SUM(N4:N13)</f>
        <v>7884.1015119565218</v>
      </c>
      <c r="O2" s="130" t="e">
        <f>IF(N2*1000=GETPIVOTDATA("WRP Funding Allocated USD_",#REF!,"KRA",1),"","error")</f>
        <v>#REF!</v>
      </c>
      <c r="P2" s="131">
        <f>SUM(P4:P13)</f>
        <v>1222.6073799999999</v>
      </c>
      <c r="Q2" s="130">
        <f t="shared" ref="Q2:U2" si="1">SUM(Q4:Q13)</f>
        <v>1268.8136500000001</v>
      </c>
      <c r="R2" s="130">
        <f t="shared" si="1"/>
        <v>1675.6841819565216</v>
      </c>
      <c r="S2" s="130">
        <f t="shared" si="1"/>
        <v>1369.8822999999998</v>
      </c>
      <c r="T2" s="130">
        <f t="shared" si="1"/>
        <v>1253.557</v>
      </c>
      <c r="U2" s="132">
        <f t="shared" si="1"/>
        <v>1093.557</v>
      </c>
      <c r="V2" s="123"/>
      <c r="AA2" s="75"/>
      <c r="AB2" s="3"/>
    </row>
    <row r="3" spans="1:28" ht="54" customHeight="1">
      <c r="A3" s="208"/>
      <c r="B3" s="258" t="s">
        <v>14</v>
      </c>
      <c r="C3" s="258"/>
      <c r="D3" s="258"/>
      <c r="E3" s="258"/>
      <c r="F3" s="258"/>
      <c r="G3" s="258"/>
      <c r="H3" s="258"/>
      <c r="I3" s="258"/>
      <c r="J3" s="258"/>
      <c r="K3" s="8"/>
      <c r="L3" s="25"/>
      <c r="M3" s="52"/>
      <c r="N3" s="124"/>
      <c r="O3" s="5"/>
      <c r="P3" s="134"/>
      <c r="Q3" s="124"/>
      <c r="R3" s="124"/>
      <c r="S3" s="124"/>
      <c r="T3" s="124"/>
      <c r="U3" s="124"/>
      <c r="AA3" s="3"/>
      <c r="AB3" s="3"/>
    </row>
    <row r="4" spans="1:28" ht="33.75" customHeight="1">
      <c r="A4" s="87">
        <v>1</v>
      </c>
      <c r="B4" s="263"/>
      <c r="C4" s="209" t="str">
        <f>$B$3</f>
        <v>Output 1.1 WRP governance, management and financing mechanisms established, mandated and equipped to coordinate a Pacific-led, integrated, and sustainable programme</v>
      </c>
      <c r="D4" s="210">
        <v>11</v>
      </c>
      <c r="E4" s="210" t="s">
        <v>15</v>
      </c>
      <c r="F4" s="211" t="s">
        <v>16</v>
      </c>
      <c r="G4" s="212">
        <v>550000</v>
      </c>
      <c r="H4" s="212">
        <v>550000</v>
      </c>
      <c r="I4" s="213">
        <f>550000/1000</f>
        <v>550</v>
      </c>
      <c r="J4" s="212"/>
      <c r="K4" s="6"/>
      <c r="L4" s="26">
        <f>M4/I4</f>
        <v>616.05053675889337</v>
      </c>
      <c r="M4" s="51">
        <f>SUMIF('Project Register'!E:E,'Implementation Plan MASTER'!F4,'Project Register'!V:V)</f>
        <v>338827.79521739134</v>
      </c>
      <c r="N4" s="238">
        <f>SUMIF('Project Register'!E:E,'Implementation Plan MASTER'!F4,'Project Register'!AA:AA)/1000</f>
        <v>338.82779521739133</v>
      </c>
      <c r="O4" s="5"/>
      <c r="P4" s="71">
        <f>SUMIF('Project Register'!$E:$E,'Implementation Plan MASTER'!$F4,'Project Register'!AD:AD)/1000</f>
        <v>0</v>
      </c>
      <c r="Q4" s="238">
        <f>SUMIF('Project Register'!$E:$E,'Implementation Plan MASTER'!$F4,'Project Register'!AE:AE)/1000</f>
        <v>118.48523</v>
      </c>
      <c r="R4" s="238">
        <f>SUMIF('Project Register'!$E:$E,'Implementation Plan MASTER'!$F4,'Project Register'!AF:AF)/1000</f>
        <v>210.3425652173913</v>
      </c>
      <c r="S4" s="238">
        <f>SUMIF('Project Register'!$E:$E,'Implementation Plan MASTER'!$F4,'Project Register'!AG:AG)/1000</f>
        <v>10</v>
      </c>
      <c r="T4" s="238">
        <f>SUMIF('Project Register'!$E:$E,'Implementation Plan MASTER'!$F4,'Project Register'!AH:AH)/1000</f>
        <v>0</v>
      </c>
      <c r="U4" s="9">
        <f>SUMIF('Project Register'!$E:$E,'Implementation Plan MASTER'!$F4,'Project Register'!AI:AI)/1000</f>
        <v>0</v>
      </c>
      <c r="W4" s="1" t="s">
        <v>17</v>
      </c>
      <c r="AA4" s="3"/>
      <c r="AB4" s="3"/>
    </row>
    <row r="5" spans="1:28" ht="23.25" customHeight="1">
      <c r="A5" s="87">
        <v>1</v>
      </c>
      <c r="B5" s="263"/>
      <c r="C5" s="209" t="str">
        <f t="shared" ref="C5:C8" si="2">$B$3</f>
        <v>Output 1.1 WRP governance, management and financing mechanisms established, mandated and equipped to coordinate a Pacific-led, integrated, and sustainable programme</v>
      </c>
      <c r="D5" s="214">
        <v>12</v>
      </c>
      <c r="E5" s="214" t="s">
        <v>18</v>
      </c>
      <c r="F5" s="110" t="s">
        <v>19</v>
      </c>
      <c r="G5" s="44">
        <v>300000</v>
      </c>
      <c r="H5" s="44">
        <v>880000</v>
      </c>
      <c r="I5" s="213">
        <f>1470000/1000</f>
        <v>1470</v>
      </c>
      <c r="J5" s="44"/>
      <c r="K5" s="6"/>
      <c r="L5" s="26">
        <f>M5/I5</f>
        <v>1765.7645351966876</v>
      </c>
      <c r="M5" s="51">
        <f>SUMIF('Project Register'!E:E,'Implementation Plan MASTER'!F5,'Project Register'!V:V)</f>
        <v>2595673.8667391306</v>
      </c>
      <c r="N5" s="238">
        <f>SUMIF('Project Register'!E:E,'Implementation Plan MASTER'!F5,'Project Register'!AA:AA)/1000</f>
        <v>2595.6738667391305</v>
      </c>
      <c r="O5" s="5"/>
      <c r="P5" s="239">
        <f>SUMIF('Project Register'!$E:$E,'Implementation Plan MASTER'!$F5,'Project Register'!AD:AD)/1000</f>
        <v>1121.26181</v>
      </c>
      <c r="Q5" s="238">
        <f>SUMIF('Project Register'!$E:$E,'Implementation Plan MASTER'!$F5,'Project Register'!AE:AE)/1000</f>
        <v>612.14293000000009</v>
      </c>
      <c r="R5" s="238">
        <f>SUMIF('Project Register'!$E:$E,'Implementation Plan MASTER'!$F5,'Project Register'!AF:AF)/1000</f>
        <v>451.74382673913044</v>
      </c>
      <c r="S5" s="238">
        <f>SUMIF('Project Register'!$E:$E,'Implementation Plan MASTER'!$F5,'Project Register'!AG:AG)/1000</f>
        <v>177.72529999999998</v>
      </c>
      <c r="T5" s="238">
        <f>SUMIF('Project Register'!$E:$E,'Implementation Plan MASTER'!$F5,'Project Register'!AH:AH)/1000</f>
        <v>196.4</v>
      </c>
      <c r="U5" s="238">
        <f>SUMIF('Project Register'!$E:$E,'Implementation Plan MASTER'!$F5,'Project Register'!AI:AI)/1000</f>
        <v>36.4</v>
      </c>
      <c r="W5" s="1" t="s">
        <v>20</v>
      </c>
    </row>
    <row r="6" spans="1:28" ht="23.25" customHeight="1">
      <c r="A6" s="87">
        <v>1</v>
      </c>
      <c r="B6" s="263"/>
      <c r="C6" s="209" t="str">
        <f t="shared" si="2"/>
        <v>Output 1.1 WRP governance, management and financing mechanisms established, mandated and equipped to coordinate a Pacific-led, integrated, and sustainable programme</v>
      </c>
      <c r="D6" s="214">
        <v>13</v>
      </c>
      <c r="E6" s="214" t="s">
        <v>21</v>
      </c>
      <c r="F6" s="110" t="s">
        <v>22</v>
      </c>
      <c r="G6" s="44" t="s">
        <v>23</v>
      </c>
      <c r="H6" s="44" t="s">
        <v>23</v>
      </c>
      <c r="I6" s="44" t="s">
        <v>23</v>
      </c>
      <c r="J6" s="44"/>
      <c r="K6" s="6"/>
      <c r="L6" s="26"/>
      <c r="M6" s="51">
        <f>SUMIF('Project Register'!E:E,'Implementation Plan MASTER'!F6,'Project Register'!V:V)</f>
        <v>156434</v>
      </c>
      <c r="N6" s="238">
        <f>SUMIF('Project Register'!E:E,'Implementation Plan MASTER'!F6,'Project Register'!AA:AA)/1000</f>
        <v>153.434</v>
      </c>
      <c r="O6" s="5"/>
      <c r="P6" s="71">
        <f>SUMIF('Project Register'!$E:$E,'Implementation Plan MASTER'!$F6,'Project Register'!AD:AD)/1000</f>
        <v>0</v>
      </c>
      <c r="Q6" s="9">
        <f>SUMIF('Project Register'!$E:$E,'Implementation Plan MASTER'!$F6,'Project Register'!AE:AE)/1000</f>
        <v>57.948</v>
      </c>
      <c r="R6" s="238">
        <f>SUMIF('Project Register'!$E:$E,'Implementation Plan MASTER'!$F6,'Project Register'!AF:AF)/1000</f>
        <v>20.486000000000001</v>
      </c>
      <c r="S6" s="9">
        <f>SUMIF('Project Register'!$E:$E,'Implementation Plan MASTER'!$F6,'Project Register'!AG:AG)/1000</f>
        <v>75</v>
      </c>
      <c r="T6" s="9">
        <f>SUMIF('Project Register'!$E:$E,'Implementation Plan MASTER'!$F6,'Project Register'!AH:AH)/1000</f>
        <v>0</v>
      </c>
      <c r="U6" s="9">
        <f>SUMIF('Project Register'!$E:$E,'Implementation Plan MASTER'!$F6,'Project Register'!AI:AI)/1000</f>
        <v>0</v>
      </c>
      <c r="W6" s="1" t="s">
        <v>24</v>
      </c>
    </row>
    <row r="7" spans="1:28" ht="41.25" customHeight="1">
      <c r="A7" s="87">
        <v>1</v>
      </c>
      <c r="B7" s="263"/>
      <c r="C7" s="209" t="str">
        <f t="shared" si="2"/>
        <v>Output 1.1 WRP governance, management and financing mechanisms established, mandated and equipped to coordinate a Pacific-led, integrated, and sustainable programme</v>
      </c>
      <c r="D7" s="214">
        <v>14</v>
      </c>
      <c r="E7" s="215" t="s">
        <v>25</v>
      </c>
      <c r="F7" s="110" t="s">
        <v>26</v>
      </c>
      <c r="G7" s="44">
        <v>1490000</v>
      </c>
      <c r="H7" s="44">
        <v>8720000</v>
      </c>
      <c r="I7" s="213">
        <f>18290000/1000</f>
        <v>18290</v>
      </c>
      <c r="J7" s="44"/>
      <c r="K7" s="6"/>
      <c r="L7" s="26">
        <f>M7/I7</f>
        <v>274.69908911973755</v>
      </c>
      <c r="M7" s="51">
        <f>SUMIF('Project Register'!E:E,'Implementation Plan MASTER'!F7,'Project Register'!V:V)</f>
        <v>5024246.34</v>
      </c>
      <c r="N7" s="238">
        <f>SUMIF('Project Register'!E:E,'Implementation Plan MASTER'!F7,'Project Register'!AA:AA)/1000</f>
        <v>4404.4213399999999</v>
      </c>
      <c r="O7" s="5"/>
      <c r="P7" s="239">
        <f>SUMIF('Project Register'!$E:$E,'Implementation Plan MASTER'!$F7,'Project Register'!AD:AD)/1000</f>
        <v>101.34557</v>
      </c>
      <c r="Q7" s="238">
        <f>SUMIF('Project Register'!$E:$E,'Implementation Plan MASTER'!$F7,'Project Register'!AE:AE)/1000</f>
        <v>292.02201999999994</v>
      </c>
      <c r="R7" s="238">
        <f>SUMIF('Project Register'!$E:$E,'Implementation Plan MASTER'!$F7,'Project Register'!AF:AF)/1000</f>
        <v>854.58275000000003</v>
      </c>
      <c r="S7" s="9">
        <f>SUMIF('Project Register'!$E:$E,'Implementation Plan MASTER'!$F7,'Project Register'!AG:AG)/1000</f>
        <v>1052.1569999999999</v>
      </c>
      <c r="T7" s="9">
        <f>SUMIF('Project Register'!$E:$E,'Implementation Plan MASTER'!$F7,'Project Register'!AH:AH)/1000</f>
        <v>1052.1569999999999</v>
      </c>
      <c r="U7" s="9">
        <f>SUMIF('Project Register'!$E:$E,'Implementation Plan MASTER'!$F7,'Project Register'!AI:AI)/1000</f>
        <v>1052.1569999999999</v>
      </c>
      <c r="W7" s="1" t="s">
        <v>27</v>
      </c>
    </row>
    <row r="8" spans="1:28" ht="35.25" customHeight="1">
      <c r="A8" s="87">
        <v>1</v>
      </c>
      <c r="B8" s="264"/>
      <c r="C8" s="209" t="str">
        <f t="shared" si="2"/>
        <v>Output 1.1 WRP governance, management and financing mechanisms established, mandated and equipped to coordinate a Pacific-led, integrated, and sustainable programme</v>
      </c>
      <c r="D8" s="214">
        <v>16</v>
      </c>
      <c r="E8" s="216" t="s">
        <v>28</v>
      </c>
      <c r="F8" s="217" t="s">
        <v>29</v>
      </c>
      <c r="G8" s="44" t="s">
        <v>30</v>
      </c>
      <c r="H8" s="44" t="s">
        <v>30</v>
      </c>
      <c r="I8" s="44" t="s">
        <v>30</v>
      </c>
      <c r="J8" s="44"/>
      <c r="K8" s="6"/>
      <c r="L8" s="26"/>
      <c r="M8" s="51">
        <f>SUMIF('Project Register'!E:E,'Implementation Plan MASTER'!F8,'Project Register'!V:V)</f>
        <v>0</v>
      </c>
      <c r="N8" s="9">
        <f>SUMIF('Project Register'!E:E,'Implementation Plan MASTER'!F8,'Project Register'!AA:AA)/1000</f>
        <v>0</v>
      </c>
      <c r="O8" s="5"/>
      <c r="P8" s="71">
        <f>SUMIF('Project Register'!$E:$E,'Implementation Plan MASTER'!$F8,'Project Register'!AD:AD)/1000</f>
        <v>0</v>
      </c>
      <c r="Q8" s="9">
        <f>SUMIF('Project Register'!$E:$E,'Implementation Plan MASTER'!$F8,'Project Register'!AE:AE)/1000</f>
        <v>0</v>
      </c>
      <c r="R8" s="9">
        <f>SUMIF('Project Register'!$E:$E,'Implementation Plan MASTER'!$F8,'Project Register'!AF:AF)/1000</f>
        <v>0</v>
      </c>
      <c r="S8" s="9">
        <f>SUMIF('Project Register'!$E:$E,'Implementation Plan MASTER'!$F8,'Project Register'!AG:AG)/1000</f>
        <v>0</v>
      </c>
      <c r="T8" s="9">
        <f>SUMIF('Project Register'!$E:$E,'Implementation Plan MASTER'!$F8,'Project Register'!AH:AH)/1000</f>
        <v>0</v>
      </c>
      <c r="U8" s="9">
        <f>SUMIF('Project Register'!$E:$E,'Implementation Plan MASTER'!$F8,'Project Register'!AI:AI)/1000</f>
        <v>0</v>
      </c>
      <c r="W8" s="1" t="s">
        <v>31</v>
      </c>
    </row>
    <row r="9" spans="1:28" ht="36" customHeight="1">
      <c r="A9" s="87">
        <v>1</v>
      </c>
      <c r="B9" s="259" t="s">
        <v>32</v>
      </c>
      <c r="C9" s="259"/>
      <c r="D9" s="259"/>
      <c r="E9" s="259"/>
      <c r="F9" s="259"/>
      <c r="G9" s="259"/>
      <c r="H9" s="259"/>
      <c r="I9" s="259"/>
      <c r="J9" s="218"/>
      <c r="K9" s="6"/>
      <c r="L9" s="26"/>
      <c r="M9" s="51"/>
      <c r="N9" s="9"/>
      <c r="O9" s="5"/>
      <c r="P9" s="71">
        <f>SUMIF('Project Register'!$E:$E,'Implementation Plan MASTER'!$F9,'Project Register'!AD:AD)/1000</f>
        <v>0</v>
      </c>
      <c r="Q9" s="9">
        <f>SUMIF('Project Register'!$E:$E,'Implementation Plan MASTER'!$F9,'Project Register'!AE:AE)/1000</f>
        <v>0</v>
      </c>
      <c r="R9" s="9"/>
      <c r="S9" s="9"/>
      <c r="T9" s="9"/>
      <c r="U9" s="9"/>
    </row>
    <row r="10" spans="1:28" ht="35.25" customHeight="1">
      <c r="A10" s="87">
        <v>1</v>
      </c>
      <c r="B10" s="219"/>
      <c r="C10" s="219" t="str">
        <f>B9</f>
        <v>Output 1.2 Sustainable hydrometerological financing facility and resource mobilisation approach established and operational</v>
      </c>
      <c r="D10" s="214">
        <v>17</v>
      </c>
      <c r="E10" s="216" t="s">
        <v>33</v>
      </c>
      <c r="F10" s="220" t="s">
        <v>34</v>
      </c>
      <c r="G10" s="44" t="s">
        <v>30</v>
      </c>
      <c r="H10" s="44" t="s">
        <v>30</v>
      </c>
      <c r="I10" s="44" t="s">
        <v>30</v>
      </c>
      <c r="J10" s="44"/>
      <c r="K10" s="6"/>
      <c r="L10" s="26"/>
      <c r="M10" s="51">
        <f>SUMIF('Project Register'!E:E,'Implementation Plan MASTER'!F10,'Project Register'!V:V)</f>
        <v>100000</v>
      </c>
      <c r="N10" s="9">
        <f>SUMIF('Project Register'!E:E,'Implementation Plan MASTER'!F10,'Project Register'!AA:AA)/1000</f>
        <v>100</v>
      </c>
      <c r="O10" s="5"/>
      <c r="P10" s="71">
        <f>SUMIF('Project Register'!$E:$E,'Implementation Plan MASTER'!$F10,'Project Register'!AD:AD)/1000</f>
        <v>0</v>
      </c>
      <c r="Q10" s="9">
        <f>SUMIF('Project Register'!$E:$E,'Implementation Plan MASTER'!$F10,'Project Register'!AE:AE)/1000</f>
        <v>0</v>
      </c>
      <c r="R10" s="9">
        <f>SUMIF('Project Register'!$E:$E,'Implementation Plan MASTER'!$F10,'Project Register'!AF:AF)/1000</f>
        <v>50</v>
      </c>
      <c r="S10" s="9">
        <f>SUMIF('Project Register'!$E:$E,'Implementation Plan MASTER'!$F10,'Project Register'!AG:AG)/1000</f>
        <v>50</v>
      </c>
      <c r="T10" s="9">
        <f>SUMIF('Project Register'!$E:$E,'Implementation Plan MASTER'!$F10,'Project Register'!AH:AH)/1000</f>
        <v>0</v>
      </c>
      <c r="U10" s="9">
        <f>SUMIF('Project Register'!$E:$E,'Implementation Plan MASTER'!$F10,'Project Register'!AI:AI)/1000</f>
        <v>0</v>
      </c>
    </row>
    <row r="11" spans="1:28" ht="36.75" customHeight="1">
      <c r="A11" s="87">
        <v>1</v>
      </c>
      <c r="B11" s="259" t="s">
        <v>35</v>
      </c>
      <c r="C11" s="259"/>
      <c r="D11" s="259"/>
      <c r="E11" s="259"/>
      <c r="F11" s="259"/>
      <c r="G11" s="259"/>
      <c r="H11" s="259"/>
      <c r="I11" s="259"/>
      <c r="J11" s="218"/>
      <c r="K11" s="6"/>
      <c r="L11" s="26"/>
      <c r="M11" s="51"/>
      <c r="N11" s="9"/>
      <c r="O11" s="5"/>
      <c r="P11" s="71"/>
      <c r="Q11" s="9"/>
      <c r="R11" s="9"/>
      <c r="S11" s="9"/>
      <c r="T11" s="9"/>
      <c r="U11" s="9"/>
    </row>
    <row r="12" spans="1:28" ht="24.75" customHeight="1">
      <c r="A12" s="87">
        <v>1</v>
      </c>
      <c r="B12" s="260"/>
      <c r="C12" s="219" t="str">
        <f>B11</f>
        <v>Output 1.3 Transformative GEDSI strategy adopted and integrated across governance, management and partner programming</v>
      </c>
      <c r="D12" s="214">
        <v>81</v>
      </c>
      <c r="E12" s="222" t="s">
        <v>36</v>
      </c>
      <c r="F12" s="223" t="s">
        <v>37</v>
      </c>
      <c r="G12" s="44" t="s">
        <v>23</v>
      </c>
      <c r="H12" s="44" t="s">
        <v>23</v>
      </c>
      <c r="I12" s="44" t="s">
        <v>23</v>
      </c>
      <c r="J12" s="44"/>
      <c r="K12" s="6"/>
      <c r="L12" s="26"/>
      <c r="M12" s="51">
        <f>SUMIF('Project Register'!E:E,'Implementation Plan MASTER'!F12,'Project Register'!V:V)</f>
        <v>291744.51</v>
      </c>
      <c r="N12" s="238">
        <f>SUMIF('Project Register'!E:E,'Implementation Plan MASTER'!F12,'Project Register'!AA:AA)/1000</f>
        <v>291.74450999999999</v>
      </c>
      <c r="O12" s="5"/>
      <c r="P12" s="71">
        <f>SUMIF('Project Register'!$E:$E,'Implementation Plan MASTER'!$F12,'Project Register'!AD:AD)/1000</f>
        <v>0</v>
      </c>
      <c r="Q12" s="238">
        <f>SUMIF('Project Register'!$E:$E,'Implementation Plan MASTER'!$F12,'Project Register'!AE:AE)/1000</f>
        <v>188.21547000000001</v>
      </c>
      <c r="R12" s="238">
        <f>SUMIF('Project Register'!$E:$E,'Implementation Plan MASTER'!$F12,'Project Register'!AF:AF)/1000</f>
        <v>88.529039999999995</v>
      </c>
      <c r="S12" s="238">
        <f>SUMIF('Project Register'!$E:$E,'Implementation Plan MASTER'!$F12,'Project Register'!AG:AG)/1000</f>
        <v>5</v>
      </c>
      <c r="T12" s="238">
        <f>SUMIF('Project Register'!$E:$E,'Implementation Plan MASTER'!$F12,'Project Register'!AH:AH)/1000</f>
        <v>5</v>
      </c>
      <c r="U12" s="238">
        <f>SUMIF('Project Register'!$E:$E,'Implementation Plan MASTER'!$F12,'Project Register'!AI:AI)/1000</f>
        <v>5</v>
      </c>
      <c r="W12" s="1" t="s">
        <v>31</v>
      </c>
    </row>
    <row r="13" spans="1:28" ht="38.25" customHeight="1">
      <c r="A13" s="87">
        <v>1</v>
      </c>
      <c r="B13" s="261"/>
      <c r="C13" s="221" t="str">
        <f>B11</f>
        <v>Output 1.3 Transformative GEDSI strategy adopted and integrated across governance, management and partner programming</v>
      </c>
      <c r="D13" s="215">
        <v>82</v>
      </c>
      <c r="E13" s="215" t="s">
        <v>38</v>
      </c>
      <c r="F13" s="217" t="s">
        <v>39</v>
      </c>
      <c r="G13" s="225" t="s">
        <v>30</v>
      </c>
      <c r="H13" s="225" t="s">
        <v>30</v>
      </c>
      <c r="I13" s="225" t="s">
        <v>30</v>
      </c>
      <c r="J13" s="225"/>
      <c r="K13" s="6"/>
      <c r="L13" s="26"/>
      <c r="M13" s="51">
        <f>SUMIF('Project Register'!E:E,'Implementation Plan MASTER'!F13,'Project Register'!V:V)</f>
        <v>0</v>
      </c>
      <c r="N13" s="9">
        <f>SUMIF('Project Register'!E:E,'Implementation Plan MASTER'!F13,'Project Register'!AA:AA)/1000</f>
        <v>0</v>
      </c>
      <c r="O13" s="5"/>
      <c r="P13" s="71">
        <f>SUMIF('Project Register'!$E:$E,'Implementation Plan MASTER'!$F13,'Project Register'!AD:AD)/1000</f>
        <v>0</v>
      </c>
      <c r="Q13" s="9">
        <f>SUMIF('Project Register'!$E:$E,'Implementation Plan MASTER'!$F13,'Project Register'!AE:AE)/1000</f>
        <v>0</v>
      </c>
      <c r="R13" s="9">
        <f>SUMIF('Project Register'!$E:$E,'Implementation Plan MASTER'!$F13,'Project Register'!AF:AF)/1000</f>
        <v>0</v>
      </c>
      <c r="S13" s="9">
        <f>SUMIF('Project Register'!$E:$E,'Implementation Plan MASTER'!$F13,'Project Register'!AG:AG)/1000</f>
        <v>0</v>
      </c>
      <c r="T13" s="9">
        <f>SUMIF('Project Register'!$E:$E,'Implementation Plan MASTER'!$F13,'Project Register'!AH:AH)/1000</f>
        <v>0</v>
      </c>
      <c r="U13" s="9">
        <f>SUMIF('Project Register'!$E:$E,'Implementation Plan MASTER'!$F13,'Project Register'!AI:AI)/1000</f>
        <v>0</v>
      </c>
    </row>
    <row r="14" spans="1:28" ht="23.25" customHeight="1">
      <c r="A14" s="202" t="s">
        <v>40</v>
      </c>
      <c r="B14" s="203"/>
      <c r="C14" s="203"/>
      <c r="D14" s="203"/>
      <c r="E14" s="203"/>
      <c r="F14" s="204"/>
      <c r="G14" s="227">
        <f>SUM(G16:G25)</f>
        <v>330000</v>
      </c>
      <c r="H14" s="227">
        <f>SUM(H16:H25)</f>
        <v>5480000</v>
      </c>
      <c r="I14" s="228">
        <f>SUM(I16:I25)</f>
        <v>20640</v>
      </c>
      <c r="J14" s="229"/>
      <c r="K14" s="8"/>
      <c r="L14" s="25">
        <f>M14/I14</f>
        <v>189.97768757384</v>
      </c>
      <c r="M14" s="52">
        <f>SUM(M16:M25)</f>
        <v>3921139.4715240579</v>
      </c>
      <c r="N14" s="130">
        <f>SUM(N16:N25)</f>
        <v>2921.1394715240576</v>
      </c>
      <c r="O14" s="130" t="e">
        <f>IF(N14*1000=GETPIVOTDATA("WRP Funding Allocated USD_",#REF!,"KRA",2),"","error")</f>
        <v>#REF!</v>
      </c>
      <c r="P14" s="131">
        <f t="shared" ref="P14:U14" si="3">SUM(P16:P25)</f>
        <v>227.93699999999998</v>
      </c>
      <c r="Q14" s="130">
        <f t="shared" si="3"/>
        <v>766.32910000000004</v>
      </c>
      <c r="R14" s="130">
        <f t="shared" si="3"/>
        <v>1159.9353715240577</v>
      </c>
      <c r="S14" s="130">
        <f t="shared" si="3"/>
        <v>440.41399999999999</v>
      </c>
      <c r="T14" s="130">
        <f t="shared" si="3"/>
        <v>163.262</v>
      </c>
      <c r="U14" s="130">
        <f t="shared" si="3"/>
        <v>163.262</v>
      </c>
    </row>
    <row r="15" spans="1:28" ht="39.75" customHeight="1">
      <c r="A15" s="208"/>
      <c r="B15" s="258" t="s">
        <v>41</v>
      </c>
      <c r="C15" s="258"/>
      <c r="D15" s="258"/>
      <c r="E15" s="258"/>
      <c r="F15" s="258"/>
      <c r="G15" s="258"/>
      <c r="H15" s="258"/>
      <c r="I15" s="258"/>
      <c r="J15" s="230"/>
      <c r="K15" s="8"/>
      <c r="L15" s="25"/>
      <c r="M15" s="52"/>
      <c r="N15" s="124"/>
      <c r="O15" s="5"/>
      <c r="P15" s="134"/>
      <c r="Q15" s="124"/>
      <c r="R15" s="124"/>
      <c r="S15" s="124"/>
      <c r="T15" s="124"/>
      <c r="U15" s="124"/>
    </row>
    <row r="16" spans="1:28" ht="26.25" customHeight="1">
      <c r="A16" s="87">
        <v>2</v>
      </c>
      <c r="B16" s="214"/>
      <c r="C16" s="214" t="str">
        <f>B15</f>
        <v>OP2.1 WMO-designated Pacific Regional Training Centre established and sustainably managed</v>
      </c>
      <c r="D16" s="214">
        <v>21</v>
      </c>
      <c r="E16" s="214" t="s">
        <v>42</v>
      </c>
      <c r="F16" s="110" t="s">
        <v>43</v>
      </c>
      <c r="G16" s="44">
        <v>20000</v>
      </c>
      <c r="H16" s="44">
        <v>920000</v>
      </c>
      <c r="I16" s="213">
        <f>920000/1000</f>
        <v>920</v>
      </c>
      <c r="J16" s="44"/>
      <c r="K16" s="8"/>
      <c r="L16" s="26">
        <f>M16/I16</f>
        <v>1330.6831304347827</v>
      </c>
      <c r="M16" s="51">
        <f>SUMIF('Project Register'!E:E,'Implementation Plan MASTER'!F16,'Project Register'!V:V)</f>
        <v>1224228.48</v>
      </c>
      <c r="N16" s="238">
        <f>SUMIF('Project Register'!E:E,'Implementation Plan MASTER'!F16,'Project Register'!AA:AA)/1000</f>
        <v>224.22847999999999</v>
      </c>
      <c r="O16" s="5"/>
      <c r="P16" s="71">
        <f>SUMIF('Project Register'!$E:$E,'Implementation Plan MASTER'!$F16,'Project Register'!AD:AD)/1000</f>
        <v>0</v>
      </c>
      <c r="Q16" s="238">
        <f>SUMIF('Project Register'!$E:$E,'Implementation Plan MASTER'!$F16,'Project Register'!AE:AE)/1000</f>
        <v>139.22847999999999</v>
      </c>
      <c r="R16" s="238">
        <f>SUMIF('Project Register'!$E:$E,'Implementation Plan MASTER'!$F16,'Project Register'!AF:AF)/1000</f>
        <v>85</v>
      </c>
      <c r="S16" s="9">
        <f>SUMIF('Project Register'!$E:$E,'Implementation Plan MASTER'!$F16,'Project Register'!AG:AG)/1000</f>
        <v>0</v>
      </c>
      <c r="T16" s="9">
        <f>SUMIF('Project Register'!$E:$E,'Implementation Plan MASTER'!$F16,'Project Register'!AH:AH)/1000</f>
        <v>0</v>
      </c>
      <c r="U16" s="9">
        <f>SUMIF('Project Register'!$E:$E,'Implementation Plan MASTER'!$F16,'Project Register'!AI:AI)/1000</f>
        <v>0</v>
      </c>
      <c r="W16" s="2" t="s">
        <v>44</v>
      </c>
      <c r="X16" s="2"/>
      <c r="Y16" s="69"/>
    </row>
    <row r="17" spans="1:25" ht="41.25" customHeight="1">
      <c r="A17" s="241"/>
      <c r="B17" s="259" t="s">
        <v>45</v>
      </c>
      <c r="C17" s="259"/>
      <c r="D17" s="259"/>
      <c r="E17" s="259"/>
      <c r="F17" s="259"/>
      <c r="G17" s="259"/>
      <c r="H17" s="259"/>
      <c r="I17" s="259"/>
      <c r="J17" s="218"/>
      <c r="K17" s="8"/>
      <c r="L17" s="26"/>
      <c r="M17" s="51"/>
      <c r="N17" s="9"/>
      <c r="P17" s="71"/>
      <c r="Q17" s="9"/>
      <c r="R17" s="9"/>
      <c r="S17" s="9"/>
      <c r="T17" s="9"/>
      <c r="U17" s="9"/>
      <c r="W17" s="2"/>
      <c r="X17" s="2"/>
      <c r="Y17" s="69"/>
    </row>
    <row r="18" spans="1:25" ht="24.75" customHeight="1">
      <c r="A18" s="87">
        <v>2</v>
      </c>
      <c r="B18" s="260"/>
      <c r="C18" s="214" t="str">
        <f t="shared" ref="C18:C23" si="4">$B$17</f>
        <v>OP2.2 Inclusive leadership and technical capability strengthening programmes established and delivering ongoing training to industry standards</v>
      </c>
      <c r="D18" s="214">
        <v>22</v>
      </c>
      <c r="E18" s="214" t="s">
        <v>46</v>
      </c>
      <c r="F18" s="110" t="s">
        <v>47</v>
      </c>
      <c r="G18" s="44">
        <v>110000</v>
      </c>
      <c r="H18" s="44">
        <v>1350000</v>
      </c>
      <c r="I18" s="213">
        <f>2700000/1000</f>
        <v>2700</v>
      </c>
      <c r="J18" s="44"/>
      <c r="K18" s="6"/>
      <c r="L18" s="26">
        <f>M18/I18</f>
        <v>300.5899074074074</v>
      </c>
      <c r="M18" s="51">
        <f>SUMIF('Project Register'!E:E,'Implementation Plan MASTER'!F18,'Project Register'!V:V)</f>
        <v>811592.75</v>
      </c>
      <c r="N18" s="9">
        <f>SUMIF('Project Register'!E:E,'Implementation Plan MASTER'!F18,'Project Register'!AA:AA)/1000</f>
        <v>811.59275000000002</v>
      </c>
      <c r="O18" s="5"/>
      <c r="P18" s="71">
        <f>SUMIF('Project Register'!$E:$E,'Implementation Plan MASTER'!$F18,'Project Register'!AD:AD)/1000</f>
        <v>7.1950000000000003</v>
      </c>
      <c r="Q18" s="238">
        <f>SUMIF('Project Register'!$E:$E,'Implementation Plan MASTER'!$F18,'Project Register'!AE:AE)/1000</f>
        <v>278.49837000000002</v>
      </c>
      <c r="R18" s="238">
        <f>SUMIF('Project Register'!$E:$E,'Implementation Plan MASTER'!$F18,'Project Register'!AF:AF)/1000</f>
        <v>345.89938000000001</v>
      </c>
      <c r="S18" s="9">
        <f>SUMIF('Project Register'!$E:$E,'Implementation Plan MASTER'!$F18,'Project Register'!AG:AG)/1000</f>
        <v>180</v>
      </c>
      <c r="T18" s="9">
        <f>SUMIF('Project Register'!$E:$E,'Implementation Plan MASTER'!$F18,'Project Register'!AH:AH)/1000</f>
        <v>0</v>
      </c>
      <c r="U18" s="9">
        <f>SUMIF('Project Register'!$E:$E,'Implementation Plan MASTER'!$F18,'Project Register'!AI:AI)/1000</f>
        <v>0</v>
      </c>
    </row>
    <row r="19" spans="1:25" ht="60" customHeight="1">
      <c r="A19" s="87">
        <v>2</v>
      </c>
      <c r="B19" s="261"/>
      <c r="C19" s="214" t="str">
        <f t="shared" si="4"/>
        <v>OP2.2 Inclusive leadership and technical capability strengthening programmes established and delivering ongoing training to industry standards</v>
      </c>
      <c r="D19" s="214">
        <v>23</v>
      </c>
      <c r="E19" s="214" t="s">
        <v>48</v>
      </c>
      <c r="F19" s="110" t="s">
        <v>49</v>
      </c>
      <c r="G19" s="44"/>
      <c r="H19" s="44"/>
      <c r="I19" s="213">
        <f>2440000/1000</f>
        <v>2440</v>
      </c>
      <c r="J19" s="44"/>
      <c r="K19" s="6"/>
      <c r="L19" s="26">
        <f>M19/I19</f>
        <v>45.081967213114751</v>
      </c>
      <c r="M19" s="51">
        <f>SUMIF('Project Register'!E:E,'Implementation Plan MASTER'!F19,'Project Register'!V:V)</f>
        <v>110000</v>
      </c>
      <c r="N19" s="238">
        <f>SUMIF('Project Register'!E:E,'Implementation Plan MASTER'!F19,'Project Register'!AA:AA)/1000</f>
        <v>110</v>
      </c>
      <c r="O19" s="5"/>
      <c r="P19" s="71">
        <f>SUMIF('Project Register'!$E:$E,'Implementation Plan MASTER'!$F19,'Project Register'!AD:AD)/1000</f>
        <v>0</v>
      </c>
      <c r="Q19" s="9">
        <f>SUMIF('Project Register'!$E:$E,'Implementation Plan MASTER'!$F19,'Project Register'!AE:AE)/1000</f>
        <v>0</v>
      </c>
      <c r="R19" s="238">
        <f>SUMIF('Project Register'!$E:$E,'Implementation Plan MASTER'!$F19,'Project Register'!AF:AF)/1000</f>
        <v>30</v>
      </c>
      <c r="S19" s="9">
        <f>SUMIF('Project Register'!$E:$E,'Implementation Plan MASTER'!$F19,'Project Register'!AG:AG)/1000</f>
        <v>80</v>
      </c>
      <c r="T19" s="9">
        <f>SUMIF('Project Register'!$E:$E,'Implementation Plan MASTER'!$F19,'Project Register'!AH:AH)/1000</f>
        <v>0</v>
      </c>
      <c r="U19" s="9">
        <f>SUMIF('Project Register'!$E:$E,'Implementation Plan MASTER'!$F19,'Project Register'!AI:AI)/1000</f>
        <v>0</v>
      </c>
    </row>
    <row r="20" spans="1:25" ht="39.75" customHeight="1">
      <c r="A20" s="87">
        <v>2</v>
      </c>
      <c r="B20" s="261"/>
      <c r="C20" s="214" t="str">
        <f t="shared" si="4"/>
        <v>OP2.2 Inclusive leadership and technical capability strengthening programmes established and delivering ongoing training to industry standards</v>
      </c>
      <c r="D20" s="214">
        <v>24</v>
      </c>
      <c r="E20" s="214" t="s">
        <v>50</v>
      </c>
      <c r="F20" s="110" t="s">
        <v>51</v>
      </c>
      <c r="G20" s="44"/>
      <c r="H20" s="44">
        <v>480000</v>
      </c>
      <c r="I20" s="213">
        <f>(4160000/1000)-I16</f>
        <v>3240</v>
      </c>
      <c r="J20" s="44"/>
      <c r="K20" s="6"/>
      <c r="L20" s="26">
        <f>M20/I20</f>
        <v>83.903171900161027</v>
      </c>
      <c r="M20" s="51">
        <f>SUMIF('Project Register'!E:E,'Implementation Plan MASTER'!F20,'Project Register'!V:V)</f>
        <v>271846.27695652173</v>
      </c>
      <c r="N20" s="238">
        <f>SUMIF('Project Register'!E:E,'Implementation Plan MASTER'!F20,'Project Register'!AA:AA)/1000</f>
        <v>271.84627695652171</v>
      </c>
      <c r="O20" s="5"/>
      <c r="P20" s="71">
        <f>SUMIF('Project Register'!$E:$E,'Implementation Plan MASTER'!$F20,'Project Register'!AD:AD)/1000</f>
        <v>0</v>
      </c>
      <c r="Q20" s="238">
        <f>SUMIF('Project Register'!$E:$E,'Implementation Plan MASTER'!$F20,'Project Register'!AE:AE)/1000</f>
        <v>124.02018999999999</v>
      </c>
      <c r="R20" s="9">
        <f>SUMIF('Project Register'!$E:$E,'Implementation Plan MASTER'!$F20,'Project Register'!AF:AF)/1000</f>
        <v>147.82608695652175</v>
      </c>
      <c r="S20" s="9">
        <f>SUMIF('Project Register'!$E:$E,'Implementation Plan MASTER'!$F20,'Project Register'!AG:AG)/1000</f>
        <v>0</v>
      </c>
      <c r="T20" s="9">
        <f>SUMIF('Project Register'!$E:$E,'Implementation Plan MASTER'!$F20,'Project Register'!AH:AH)/1000</f>
        <v>0</v>
      </c>
      <c r="U20" s="9">
        <f>SUMIF('Project Register'!$E:$E,'Implementation Plan MASTER'!$F20,'Project Register'!AI:AI)/1000</f>
        <v>0</v>
      </c>
      <c r="Y20" s="69"/>
    </row>
    <row r="21" spans="1:25" ht="41.25" customHeight="1">
      <c r="A21" s="87">
        <v>2</v>
      </c>
      <c r="B21" s="261"/>
      <c r="C21" s="214" t="str">
        <f t="shared" si="4"/>
        <v>OP2.2 Inclusive leadership and technical capability strengthening programmes established and delivering ongoing training to industry standards</v>
      </c>
      <c r="D21" s="214">
        <v>25</v>
      </c>
      <c r="E21" s="214" t="s">
        <v>52</v>
      </c>
      <c r="F21" s="110" t="s">
        <v>53</v>
      </c>
      <c r="G21" s="44"/>
      <c r="H21" s="44">
        <v>600000</v>
      </c>
      <c r="I21" s="213">
        <f>1040000/1000</f>
        <v>1040</v>
      </c>
      <c r="J21" s="44"/>
      <c r="K21" s="6"/>
      <c r="L21" s="26">
        <f>M21/I21</f>
        <v>129.9356471571904</v>
      </c>
      <c r="M21" s="51">
        <f>SUMIF('Project Register'!E:E,'Implementation Plan MASTER'!F21,'Project Register'!V:V)</f>
        <v>135133.07304347801</v>
      </c>
      <c r="N21" s="9">
        <f>SUMIF('Project Register'!E:E,'Implementation Plan MASTER'!F21,'Project Register'!AA:AA)/1000</f>
        <v>135.13307304347802</v>
      </c>
      <c r="O21" s="5"/>
      <c r="P21" s="71">
        <f>SUMIF('Project Register'!$E:$E,'Implementation Plan MASTER'!$F21,'Project Register'!AD:AD)/1000</f>
        <v>0</v>
      </c>
      <c r="Q21" s="9">
        <f>SUMIF('Project Register'!$E:$E,'Implementation Plan MASTER'!$F21,'Project Register'!AE:AE)/1000</f>
        <v>0</v>
      </c>
      <c r="R21" s="9">
        <f>SUMIF('Project Register'!$E:$E,'Implementation Plan MASTER'!$F21,'Project Register'!AF:AF)/1000</f>
        <v>135.13307304347802</v>
      </c>
      <c r="S21" s="9">
        <f>SUMIF('Project Register'!$E:$E,'Implementation Plan MASTER'!$F21,'Project Register'!AG:AG)/1000</f>
        <v>0</v>
      </c>
      <c r="T21" s="9">
        <f>SUMIF('Project Register'!$E:$E,'Implementation Plan MASTER'!$F21,'Project Register'!AH:AH)/1000</f>
        <v>0</v>
      </c>
      <c r="U21" s="9">
        <f>SUMIF('Project Register'!$E:$E,'Implementation Plan MASTER'!$F21,'Project Register'!AI:AI)/1000</f>
        <v>0</v>
      </c>
    </row>
    <row r="22" spans="1:25" ht="23.25" customHeight="1">
      <c r="A22" s="87">
        <v>2</v>
      </c>
      <c r="B22" s="261"/>
      <c r="C22" s="214" t="str">
        <f t="shared" si="4"/>
        <v>OP2.2 Inclusive leadership and technical capability strengthening programmes established and delivering ongoing training to industry standards</v>
      </c>
      <c r="D22" s="214">
        <v>26</v>
      </c>
      <c r="E22" s="214" t="s">
        <v>54</v>
      </c>
      <c r="F22" s="110" t="s">
        <v>55</v>
      </c>
      <c r="G22" s="44">
        <f>100000+100000</f>
        <v>200000</v>
      </c>
      <c r="H22" s="44">
        <f>2030000+100000</f>
        <v>2130000</v>
      </c>
      <c r="I22" s="213">
        <f>(8150000+200000+980000)/1000</f>
        <v>9330</v>
      </c>
      <c r="J22" s="44"/>
      <c r="K22" s="6"/>
      <c r="L22" s="26">
        <f>M22/I22</f>
        <v>17.566309202292747</v>
      </c>
      <c r="M22" s="51">
        <f>SUMIF('Project Register'!E:E,'Implementation Plan MASTER'!F22,'Project Register'!V:V)</f>
        <v>163893.66485739133</v>
      </c>
      <c r="N22" s="238">
        <f>SUMIF('Project Register'!E:E,'Implementation Plan MASTER'!F22,'Project Register'!AA:AA)/1000</f>
        <v>163.89366485739131</v>
      </c>
      <c r="O22" s="5"/>
      <c r="P22" s="71">
        <f>SUMIF('Project Register'!$E:$E,'Implementation Plan MASTER'!$F22,'Project Register'!AD:AD)/1000</f>
        <v>0</v>
      </c>
      <c r="Q22" s="238">
        <f>SUMIF('Project Register'!$E:$E,'Implementation Plan MASTER'!$F22,'Project Register'!AE:AE)/1000</f>
        <v>0</v>
      </c>
      <c r="R22" s="238">
        <f>SUMIF('Project Register'!$E:$E,'Implementation Plan MASTER'!$F22,'Project Register'!AF:AF)/1000</f>
        <v>163.89366485739131</v>
      </c>
      <c r="S22" s="9">
        <f>SUMIF('Project Register'!$E:$E,'Implementation Plan MASTER'!$F22,'Project Register'!AG:AG)/1000</f>
        <v>0</v>
      </c>
      <c r="T22" s="9">
        <f>SUMIF('Project Register'!$E:$E,'Implementation Plan MASTER'!$F22,'Project Register'!AH:AH)/1000</f>
        <v>0</v>
      </c>
      <c r="U22" s="9">
        <f>SUMIF('Project Register'!$E:$E,'Implementation Plan MASTER'!$F22,'Project Register'!AI:AI)/1000</f>
        <v>0</v>
      </c>
      <c r="W22" s="1" t="s">
        <v>56</v>
      </c>
    </row>
    <row r="23" spans="1:25" ht="39.75" customHeight="1">
      <c r="A23" s="87">
        <v>2</v>
      </c>
      <c r="B23" s="262"/>
      <c r="C23" s="214" t="str">
        <f t="shared" si="4"/>
        <v>OP2.2 Inclusive leadership and technical capability strengthening programmes established and delivering ongoing training to industry standards</v>
      </c>
      <c r="D23" s="214">
        <v>27</v>
      </c>
      <c r="E23" s="214" t="s">
        <v>57</v>
      </c>
      <c r="F23" s="110" t="s">
        <v>58</v>
      </c>
      <c r="G23" s="44" t="s">
        <v>30</v>
      </c>
      <c r="H23" s="44" t="s">
        <v>30</v>
      </c>
      <c r="I23" s="44" t="s">
        <v>30</v>
      </c>
      <c r="J23" s="44"/>
      <c r="K23" s="6"/>
      <c r="L23" s="26"/>
      <c r="M23" s="51">
        <f>SUMIF('Project Register'!E:E,'Implementation Plan MASTER'!F23,'Project Register'!V:V)</f>
        <v>714374.22666666668</v>
      </c>
      <c r="N23" s="238">
        <f>SUMIF('Project Register'!E:E,'Implementation Plan MASTER'!F23,'Project Register'!AA:AA)/1000</f>
        <v>714.37422666666669</v>
      </c>
      <c r="O23" s="5"/>
      <c r="P23" s="71">
        <f>SUMIF('Project Register'!$E:$E,'Implementation Plan MASTER'!$F23,'Project Register'!AD:AD)/1000</f>
        <v>0</v>
      </c>
      <c r="Q23" s="238">
        <f>SUMIF('Project Register'!$E:$E,'Implementation Plan MASTER'!$F23,'Project Register'!AE:AE)/1000</f>
        <v>17.405060000000002</v>
      </c>
      <c r="R23" s="238">
        <f>SUMIF('Project Register'!$E:$E,'Implementation Plan MASTER'!$F23,'Project Register'!AF:AF)/1000</f>
        <v>207.18316666666669</v>
      </c>
      <c r="S23" s="9">
        <f>SUMIF('Project Register'!$E:$E,'Implementation Plan MASTER'!$F23,'Project Register'!AG:AG)/1000</f>
        <v>163.262</v>
      </c>
      <c r="T23" s="9">
        <f>SUMIF('Project Register'!$E:$E,'Implementation Plan MASTER'!$F23,'Project Register'!AH:AH)/1000</f>
        <v>163.262</v>
      </c>
      <c r="U23" s="9">
        <f>SUMIF('Project Register'!$E:$E,'Implementation Plan MASTER'!$F23,'Project Register'!AI:AI)/1000</f>
        <v>163.262</v>
      </c>
      <c r="W23" s="2" t="s">
        <v>59</v>
      </c>
      <c r="X23" s="2"/>
      <c r="Y23" s="2"/>
    </row>
    <row r="24" spans="1:25" ht="21.75" customHeight="1">
      <c r="A24" s="241"/>
      <c r="B24" s="259" t="s">
        <v>60</v>
      </c>
      <c r="C24" s="259"/>
      <c r="D24" s="259"/>
      <c r="E24" s="259"/>
      <c r="F24" s="259"/>
      <c r="G24" s="259"/>
      <c r="H24" s="259"/>
      <c r="I24" s="259"/>
      <c r="J24" s="218"/>
      <c r="K24" s="6"/>
      <c r="L24" s="26"/>
      <c r="M24" s="51"/>
      <c r="N24" s="9"/>
      <c r="P24" s="71"/>
      <c r="Q24" s="9"/>
      <c r="R24" s="9"/>
      <c r="S24" s="9"/>
      <c r="T24" s="9"/>
      <c r="U24" s="9"/>
      <c r="W24" s="2"/>
      <c r="X24" s="2"/>
      <c r="Y24" s="2"/>
    </row>
    <row r="25" spans="1:25" ht="39.75" customHeight="1">
      <c r="A25" s="87">
        <v>2</v>
      </c>
      <c r="B25" s="221"/>
      <c r="C25" s="215" t="str">
        <f>B24</f>
        <v>OP2.3 Continuous learning and mentoring opportunities provided</v>
      </c>
      <c r="D25" s="215">
        <v>28</v>
      </c>
      <c r="E25" s="215" t="s">
        <v>61</v>
      </c>
      <c r="F25" s="233" t="s">
        <v>62</v>
      </c>
      <c r="G25" s="225"/>
      <c r="H25" s="225"/>
      <c r="I25" s="232">
        <f>970000/1000</f>
        <v>970</v>
      </c>
      <c r="J25" s="225"/>
      <c r="K25" s="8"/>
      <c r="L25" s="26">
        <f>M25/I25</f>
        <v>505.22783505154638</v>
      </c>
      <c r="M25" s="51">
        <f>SUMIF('Project Register'!E:E,'Implementation Plan MASTER'!F25,'Project Register'!V:V)</f>
        <v>490071</v>
      </c>
      <c r="N25" s="58">
        <f>SUMIF('Project Register'!E:E,'Implementation Plan MASTER'!F25,'Project Register'!AA:AA)/1000</f>
        <v>490.07100000000003</v>
      </c>
      <c r="O25" s="5"/>
      <c r="P25" s="71">
        <f>SUMIF('Project Register'!$E:$E,'Implementation Plan MASTER'!$F25,'Project Register'!AD:AD)/1000</f>
        <v>220.74199999999999</v>
      </c>
      <c r="Q25" s="238">
        <f>SUMIF('Project Register'!$E:$E,'Implementation Plan MASTER'!$F25,'Project Register'!AE:AE)/1000</f>
        <v>207.17699999999999</v>
      </c>
      <c r="R25" s="240">
        <f>SUMIF('Project Register'!$E:$E,'Implementation Plan MASTER'!$F25,'Project Register'!AF:AF)/1000</f>
        <v>45</v>
      </c>
      <c r="S25" s="58">
        <f>SUMIF('Project Register'!$E:$E,'Implementation Plan MASTER'!$F25,'Project Register'!AG:AG)/1000</f>
        <v>17.152000000000001</v>
      </c>
      <c r="T25" s="58">
        <f>SUMIF('Project Register'!$E:$E,'Implementation Plan MASTER'!$F25,'Project Register'!AH:AH)/1000</f>
        <v>0</v>
      </c>
      <c r="U25" s="58">
        <f>SUMIF('Project Register'!$E:$E,'Implementation Plan MASTER'!$F25,'Project Register'!AI:AI)/1000</f>
        <v>0</v>
      </c>
      <c r="W25" s="1" t="s">
        <v>63</v>
      </c>
    </row>
    <row r="26" spans="1:25" ht="39" customHeight="1">
      <c r="A26" s="266" t="s">
        <v>64</v>
      </c>
      <c r="B26" s="266"/>
      <c r="C26" s="266"/>
      <c r="D26" s="266"/>
      <c r="E26" s="266"/>
      <c r="F26" s="266"/>
      <c r="G26" s="227">
        <f>SUM(G28:G39)</f>
        <v>3550000</v>
      </c>
      <c r="H26" s="227">
        <f>SUM(H28:H39)</f>
        <v>9880000</v>
      </c>
      <c r="I26" s="228">
        <f>SUM(I28:I39)</f>
        <v>89160</v>
      </c>
      <c r="J26" s="229"/>
      <c r="K26" s="8"/>
      <c r="L26" s="25">
        <f>M26/I26</f>
        <v>306.6644941434061</v>
      </c>
      <c r="M26" s="52">
        <f>SUM(M28:M39)</f>
        <v>27342206.297826089</v>
      </c>
      <c r="N26" s="130">
        <f>SUM(N28:N39)</f>
        <v>11842.206297826087</v>
      </c>
      <c r="O26" s="130" t="e">
        <f>IF(N26*1000=GETPIVOTDATA("WRP Funding Allocated USD_",#REF!,"KRA",3),"","error")</f>
        <v>#REF!</v>
      </c>
      <c r="P26" s="131">
        <f t="shared" ref="P26:U26" si="5">SUM(P28:P39)</f>
        <v>1906.335</v>
      </c>
      <c r="Q26" s="130">
        <f t="shared" si="5"/>
        <v>1380.56395</v>
      </c>
      <c r="R26" s="130">
        <f t="shared" si="5"/>
        <v>5264.4573478260872</v>
      </c>
      <c r="S26" s="130">
        <f t="shared" si="5"/>
        <v>2661.1419999999998</v>
      </c>
      <c r="T26" s="130">
        <f t="shared" si="5"/>
        <v>319.85399999999998</v>
      </c>
      <c r="U26" s="130">
        <f t="shared" si="5"/>
        <v>309.85399999999998</v>
      </c>
    </row>
    <row r="27" spans="1:25" ht="42.75" customHeight="1">
      <c r="A27" s="208"/>
      <c r="B27" s="258" t="s">
        <v>65</v>
      </c>
      <c r="C27" s="258"/>
      <c r="D27" s="258"/>
      <c r="E27" s="258"/>
      <c r="F27" s="258"/>
      <c r="G27" s="258"/>
      <c r="H27" s="258"/>
      <c r="I27" s="258"/>
      <c r="J27" s="230"/>
      <c r="K27" s="8"/>
      <c r="L27" s="25"/>
      <c r="M27" s="52"/>
      <c r="N27" s="124"/>
      <c r="O27" s="5"/>
      <c r="P27" s="134"/>
      <c r="Q27" s="124"/>
      <c r="R27" s="124"/>
      <c r="S27" s="124"/>
      <c r="T27" s="124"/>
      <c r="U27" s="124"/>
    </row>
    <row r="28" spans="1:25" ht="39" customHeight="1">
      <c r="A28" s="87">
        <v>3</v>
      </c>
      <c r="B28" s="214"/>
      <c r="C28" s="214" t="str">
        <f>B27</f>
        <v>Output 3.2 WMO-designated Pacific Regional Instrument Centre established and sustainably managed</v>
      </c>
      <c r="D28" s="214">
        <v>31</v>
      </c>
      <c r="E28" s="214" t="s">
        <v>66</v>
      </c>
      <c r="F28" s="110" t="s">
        <v>67</v>
      </c>
      <c r="G28" s="44"/>
      <c r="H28" s="44">
        <v>1860000</v>
      </c>
      <c r="I28" s="213">
        <f>1860000/1000</f>
        <v>1860</v>
      </c>
      <c r="J28" s="44"/>
      <c r="K28" s="8"/>
      <c r="L28" s="26">
        <f>M28/I28</f>
        <v>564.78728377746609</v>
      </c>
      <c r="M28" s="51">
        <f>SUMIF('Project Register'!E:E,'Implementation Plan MASTER'!F28,'Project Register'!V:V)</f>
        <v>1050504.3478260869</v>
      </c>
      <c r="N28" s="9">
        <f>SUMIF('Project Register'!E:E,'Implementation Plan MASTER'!F28,'Project Register'!AA:AA)/1000</f>
        <v>50.504347826086956</v>
      </c>
      <c r="O28" s="5"/>
      <c r="P28" s="71">
        <f>SUMIF('Project Register'!$E:$E,'Implementation Plan MASTER'!$F28,'Project Register'!AD:AD)/1000</f>
        <v>0</v>
      </c>
      <c r="Q28" s="9">
        <f>SUMIF('Project Register'!$E:$E,'Implementation Plan MASTER'!$F28,'Project Register'!AE:AE)/1000</f>
        <v>0</v>
      </c>
      <c r="R28" s="9">
        <f>SUMIF('Project Register'!$E:$E,'Implementation Plan MASTER'!$F28,'Project Register'!AF:AF)/1000</f>
        <v>50.504347826086956</v>
      </c>
      <c r="S28" s="9">
        <f>SUMIF('Project Register'!$E:$E,'Implementation Plan MASTER'!$F28,'Project Register'!AG:AG)/1000</f>
        <v>0</v>
      </c>
      <c r="T28" s="9">
        <f>SUMIF('Project Register'!$E:$E,'Implementation Plan MASTER'!$F28,'Project Register'!AH:AH)/1000</f>
        <v>0</v>
      </c>
      <c r="U28" s="9">
        <f>SUMIF('Project Register'!$E:$E,'Implementation Plan MASTER'!$F28,'Project Register'!AI:AI)/1000</f>
        <v>0</v>
      </c>
      <c r="W28" s="2" t="s">
        <v>68</v>
      </c>
      <c r="X28" s="2"/>
      <c r="Y28" s="2"/>
    </row>
    <row r="29" spans="1:25" ht="41.25" customHeight="1">
      <c r="A29" s="241"/>
      <c r="B29" s="259" t="s">
        <v>69</v>
      </c>
      <c r="C29" s="259"/>
      <c r="D29" s="259"/>
      <c r="E29" s="259"/>
      <c r="F29" s="259"/>
      <c r="G29" s="259"/>
      <c r="H29" s="259"/>
      <c r="I29" s="259"/>
      <c r="J29" s="218"/>
      <c r="K29" s="8"/>
      <c r="L29" s="26"/>
      <c r="M29" s="51"/>
      <c r="N29" s="9"/>
      <c r="P29" s="71"/>
      <c r="Q29" s="9"/>
      <c r="R29" s="9"/>
      <c r="S29" s="9"/>
      <c r="T29" s="9"/>
      <c r="U29" s="9"/>
      <c r="W29" s="2"/>
      <c r="X29" s="2"/>
      <c r="Y29" s="2"/>
    </row>
    <row r="30" spans="1:25" ht="58.5" customHeight="1">
      <c r="A30" s="87">
        <v>3</v>
      </c>
      <c r="B30" s="260"/>
      <c r="C30" s="214" t="str">
        <f t="shared" ref="C30:C39" si="6">$B$29</f>
        <v>Output 3.1 Interoperable, affordable and resilient observation network progressively remediated, expanded and sustained</v>
      </c>
      <c r="D30" s="214">
        <v>32</v>
      </c>
      <c r="E30" s="214" t="s">
        <v>70</v>
      </c>
      <c r="F30" s="234" t="s">
        <v>71</v>
      </c>
      <c r="G30" s="44">
        <v>1050000</v>
      </c>
      <c r="H30" s="44">
        <v>1000000</v>
      </c>
      <c r="I30" s="213">
        <f>1000000/1000</f>
        <v>1000</v>
      </c>
      <c r="J30" s="44"/>
      <c r="K30" s="8"/>
      <c r="L30" s="26">
        <f>M30/I30</f>
        <v>916.69899999999996</v>
      </c>
      <c r="M30" s="51">
        <f>SUMIF('Project Register'!E:E,'Implementation Plan MASTER'!F30,'Project Register'!V:V)</f>
        <v>916699</v>
      </c>
      <c r="N30" s="238">
        <f>SUMIF('Project Register'!E:E,'Implementation Plan MASTER'!F30,'Project Register'!AA:AA)/1000</f>
        <v>916.69899999999996</v>
      </c>
      <c r="O30" s="5"/>
      <c r="P30" s="71">
        <f>SUMIF('Project Register'!$E:$E,'Implementation Plan MASTER'!$F30,'Project Register'!AD:AD)/1000</f>
        <v>0.28999999999999998</v>
      </c>
      <c r="Q30" s="238">
        <f>SUMIF('Project Register'!$E:$E,'Implementation Plan MASTER'!$F30,'Project Register'!AE:AE)/1000</f>
        <v>354.16199999999998</v>
      </c>
      <c r="R30" s="238">
        <f>SUMIF('Project Register'!$E:$E,'Implementation Plan MASTER'!$F30,'Project Register'!AF:AF)/1000</f>
        <v>177.24700000000001</v>
      </c>
      <c r="S30" s="9">
        <f>SUMIF('Project Register'!$E:$E,'Implementation Plan MASTER'!$F30,'Project Register'!AG:AG)/1000</f>
        <v>355</v>
      </c>
      <c r="T30" s="9">
        <f>SUMIF('Project Register'!$E:$E,'Implementation Plan MASTER'!$F30,'Project Register'!AH:AH)/1000</f>
        <v>20</v>
      </c>
      <c r="U30" s="9">
        <f>SUMIF('Project Register'!$E:$E,'Implementation Plan MASTER'!$F30,'Project Register'!AI:AI)/1000</f>
        <v>10</v>
      </c>
      <c r="W30" s="2" t="s">
        <v>72</v>
      </c>
      <c r="X30" s="2"/>
      <c r="Y30" s="67"/>
    </row>
    <row r="31" spans="1:25" ht="62.25" hidden="1" customHeight="1">
      <c r="A31" s="87"/>
      <c r="B31" s="261"/>
      <c r="C31" s="214" t="str">
        <f t="shared" si="6"/>
        <v>Output 3.1 Interoperable, affordable and resilient observation network progressively remediated, expanded and sustained</v>
      </c>
      <c r="D31" s="214"/>
      <c r="E31" s="214"/>
      <c r="F31" s="234"/>
      <c r="G31" s="44"/>
      <c r="H31" s="44"/>
      <c r="I31" s="44"/>
      <c r="J31" s="44"/>
      <c r="K31" s="8"/>
      <c r="L31" s="26"/>
      <c r="M31" s="51"/>
      <c r="N31" s="9"/>
      <c r="O31" s="46"/>
      <c r="P31" s="71"/>
      <c r="Q31" s="9"/>
      <c r="R31" s="9"/>
      <c r="S31" s="9"/>
      <c r="T31" s="9"/>
      <c r="U31" s="9"/>
      <c r="W31" s="2"/>
      <c r="X31" s="2"/>
      <c r="Y31" s="70" t="s">
        <v>73</v>
      </c>
    </row>
    <row r="32" spans="1:25" ht="41.25" customHeight="1">
      <c r="A32" s="87">
        <v>3</v>
      </c>
      <c r="B32" s="261"/>
      <c r="C32" s="214" t="str">
        <f t="shared" si="6"/>
        <v>Output 3.1 Interoperable, affordable and resilient observation network progressively remediated, expanded and sustained</v>
      </c>
      <c r="D32" s="214">
        <v>33</v>
      </c>
      <c r="E32" s="214" t="s">
        <v>74</v>
      </c>
      <c r="F32" s="110" t="s">
        <v>75</v>
      </c>
      <c r="G32" s="44"/>
      <c r="H32" s="44">
        <v>220000</v>
      </c>
      <c r="I32" s="213">
        <f>470000/1000</f>
        <v>470</v>
      </c>
      <c r="J32" s="44"/>
      <c r="K32" s="8"/>
      <c r="L32" s="26">
        <f t="shared" ref="L32:L40" si="7">M32/I32</f>
        <v>2293.3615957446809</v>
      </c>
      <c r="M32" s="51">
        <f>SUMIF('Project Register'!E:E,'Implementation Plan MASTER'!F32,'Project Register'!V:V)</f>
        <v>1077879.95</v>
      </c>
      <c r="N32" s="238">
        <f>SUMIF('Project Register'!E:E,'Implementation Plan MASTER'!F32,'Project Register'!AA:AA)/1000</f>
        <v>1077.87995</v>
      </c>
      <c r="O32" s="5"/>
      <c r="P32" s="71">
        <f>SUMIF('Project Register'!$E:$E,'Implementation Plan MASTER'!$F32,'Project Register'!AD:AD)/1000</f>
        <v>0</v>
      </c>
      <c r="Q32" s="238">
        <f>SUMIF('Project Register'!$E:$E,'Implementation Plan MASTER'!$F32,'Project Register'!AE:AE)/1000</f>
        <v>45.055949999999996</v>
      </c>
      <c r="R32" s="9">
        <f>SUMIF('Project Register'!$E:$E,'Implementation Plan MASTER'!$F32,'Project Register'!AF:AF)/1000</f>
        <v>163.262</v>
      </c>
      <c r="S32" s="9">
        <f>SUMIF('Project Register'!$E:$E,'Implementation Plan MASTER'!$F32,'Project Register'!AG:AG)/1000</f>
        <v>289.85399999999998</v>
      </c>
      <c r="T32" s="9">
        <f>SUMIF('Project Register'!$E:$E,'Implementation Plan MASTER'!$F32,'Project Register'!AH:AH)/1000</f>
        <v>289.85399999999998</v>
      </c>
      <c r="U32" s="9">
        <f>SUMIF('Project Register'!$E:$E,'Implementation Plan MASTER'!$F32,'Project Register'!AI:AI)/1000</f>
        <v>289.85399999999998</v>
      </c>
      <c r="W32" s="149" t="s">
        <v>76</v>
      </c>
      <c r="X32" s="149"/>
      <c r="Y32" s="69"/>
    </row>
    <row r="33" spans="1:25" ht="22.5" customHeight="1">
      <c r="A33" s="87">
        <v>3</v>
      </c>
      <c r="B33" s="261"/>
      <c r="C33" s="214" t="str">
        <f t="shared" si="6"/>
        <v>Output 3.1 Interoperable, affordable and resilient observation network progressively remediated, expanded and sustained</v>
      </c>
      <c r="D33" s="214">
        <v>71</v>
      </c>
      <c r="E33" s="214" t="s">
        <v>77</v>
      </c>
      <c r="F33" s="110" t="s">
        <v>78</v>
      </c>
      <c r="G33" s="44"/>
      <c r="H33" s="44">
        <v>2000000</v>
      </c>
      <c r="I33" s="213">
        <f>(12340000-1000000)/1000</f>
        <v>11340</v>
      </c>
      <c r="J33" s="44"/>
      <c r="K33" s="6"/>
      <c r="L33" s="26">
        <f t="shared" si="7"/>
        <v>130.94982363315697</v>
      </c>
      <c r="M33" s="51">
        <f>SUMIF('Project Register'!E:E,'Implementation Plan MASTER'!F33,'Project Register'!V:V)</f>
        <v>1484971</v>
      </c>
      <c r="N33" s="9">
        <f>SUMIF('Project Register'!E:E,'Implementation Plan MASTER'!F33,'Project Register'!AA:AA)/1000</f>
        <v>1484.971</v>
      </c>
      <c r="O33" s="5"/>
      <c r="P33" s="71">
        <f>SUMIF('Project Register'!$E:$E,'Implementation Plan MASTER'!$F33,'Project Register'!AD:AD)/1000</f>
        <v>0</v>
      </c>
      <c r="Q33" s="238">
        <f>SUMIF('Project Register'!$E:$E,'Implementation Plan MASTER'!$F33,'Project Register'!AE:AE)/1000</f>
        <v>8.9749999999999996</v>
      </c>
      <c r="R33" s="238">
        <f>SUMIF('Project Register'!$E:$E,'Implementation Plan MASTER'!$F33,'Project Register'!AF:AF)/1000</f>
        <v>940.76900000000001</v>
      </c>
      <c r="S33" s="238">
        <f>SUMIF('Project Register'!$E:$E,'Implementation Plan MASTER'!$F33,'Project Register'!AG:AG)/1000</f>
        <v>535.22699999999998</v>
      </c>
      <c r="T33" s="9">
        <f>SUMIF('Project Register'!$E:$E,'Implementation Plan MASTER'!$F33,'Project Register'!AH:AH)/1000</f>
        <v>0</v>
      </c>
      <c r="U33" s="9">
        <f>SUMIF('Project Register'!$E:$E,'Implementation Plan MASTER'!$F33,'Project Register'!AI:AI)/1000</f>
        <v>0</v>
      </c>
      <c r="Y33" s="68"/>
    </row>
    <row r="34" spans="1:25" ht="23.25" customHeight="1">
      <c r="A34" s="87">
        <v>3</v>
      </c>
      <c r="B34" s="261"/>
      <c r="C34" s="214" t="str">
        <f t="shared" si="6"/>
        <v>Output 3.1 Interoperable, affordable and resilient observation network progressively remediated, expanded and sustained</v>
      </c>
      <c r="D34" s="214">
        <v>72</v>
      </c>
      <c r="E34" s="214" t="s">
        <v>79</v>
      </c>
      <c r="F34" s="110" t="s">
        <v>80</v>
      </c>
      <c r="G34" s="44"/>
      <c r="H34" s="44"/>
      <c r="I34" s="213">
        <f>8050000/1000</f>
        <v>8050</v>
      </c>
      <c r="J34" s="44"/>
      <c r="K34" s="6"/>
      <c r="L34" s="26">
        <f t="shared" si="7"/>
        <v>0</v>
      </c>
      <c r="M34" s="51">
        <f>SUMIF('Project Register'!E:E,'Implementation Plan MASTER'!F34,'Project Register'!V:V)</f>
        <v>0</v>
      </c>
      <c r="N34" s="9">
        <f>SUMIF('Project Register'!E:E,'Implementation Plan MASTER'!F34,'Project Register'!AA:AA)/1000</f>
        <v>0</v>
      </c>
      <c r="O34" s="5"/>
      <c r="P34" s="71">
        <f>SUMIF('Project Register'!$E:$E,'Implementation Plan MASTER'!$F34,'Project Register'!AD:AD)/1000</f>
        <v>0</v>
      </c>
      <c r="Q34" s="9">
        <f>SUMIF('Project Register'!$E:$E,'Implementation Plan MASTER'!$F34,'Project Register'!AE:AE)/1000</f>
        <v>0</v>
      </c>
      <c r="R34" s="9">
        <f>SUMIF('Project Register'!$E:$E,'Implementation Plan MASTER'!$F34,'Project Register'!AF:AF)/1000</f>
        <v>0</v>
      </c>
      <c r="S34" s="9">
        <f>SUMIF('Project Register'!$E:$E,'Implementation Plan MASTER'!$F34,'Project Register'!AG:AG)/1000</f>
        <v>0</v>
      </c>
      <c r="T34" s="9">
        <f>SUMIF('Project Register'!$E:$E,'Implementation Plan MASTER'!$F34,'Project Register'!AH:AH)/1000</f>
        <v>0</v>
      </c>
      <c r="U34" s="9">
        <f>SUMIF('Project Register'!$E:$E,'Implementation Plan MASTER'!$F34,'Project Register'!AI:AI)/1000</f>
        <v>0</v>
      </c>
      <c r="W34" s="1" t="s">
        <v>81</v>
      </c>
      <c r="Y34" s="69"/>
    </row>
    <row r="35" spans="1:25" ht="23.25" customHeight="1">
      <c r="A35" s="87">
        <v>3</v>
      </c>
      <c r="B35" s="261"/>
      <c r="C35" s="214" t="str">
        <f t="shared" si="6"/>
        <v>Output 3.1 Interoperable, affordable and resilient observation network progressively remediated, expanded and sustained</v>
      </c>
      <c r="D35" s="214">
        <v>73</v>
      </c>
      <c r="E35" s="214" t="s">
        <v>82</v>
      </c>
      <c r="F35" s="110" t="s">
        <v>83</v>
      </c>
      <c r="G35" s="44">
        <v>2500000</v>
      </c>
      <c r="H35" s="44">
        <v>2500000</v>
      </c>
      <c r="I35" s="213">
        <f>11650000/1000</f>
        <v>11650</v>
      </c>
      <c r="J35" s="44"/>
      <c r="K35" s="6"/>
      <c r="L35" s="26">
        <f t="shared" si="7"/>
        <v>1958.1246351931331</v>
      </c>
      <c r="M35" s="51">
        <f>SUMIF('Project Register'!E:E,'Implementation Plan MASTER'!F35,'Project Register'!V:V)</f>
        <v>22812152</v>
      </c>
      <c r="N35" s="238">
        <f>SUMIF('Project Register'!E:E,'Implementation Plan MASTER'!F35,'Project Register'!AA:AA)/1000</f>
        <v>8312.152</v>
      </c>
      <c r="O35" s="5"/>
      <c r="P35" s="71">
        <f>SUMIF('Project Register'!$E:$E,'Implementation Plan MASTER'!$F35,'Project Register'!AD:AD)/1000</f>
        <v>1906.0450000000001</v>
      </c>
      <c r="Q35" s="238">
        <f>SUMIF('Project Register'!$E:$E,'Implementation Plan MASTER'!$F35,'Project Register'!AE:AE)/1000</f>
        <v>972.37099999999998</v>
      </c>
      <c r="R35" s="238">
        <f>SUMIF('Project Register'!$E:$E,'Implementation Plan MASTER'!$F35,'Project Register'!AF:AF)/1000</f>
        <v>3932.6750000000002</v>
      </c>
      <c r="S35" s="238">
        <f>SUMIF('Project Register'!$E:$E,'Implementation Plan MASTER'!$F35,'Project Register'!AG:AG)/1000</f>
        <v>1481.0609999999999</v>
      </c>
      <c r="T35" s="9">
        <f>SUMIF('Project Register'!$E:$E,'Implementation Plan MASTER'!$F35,'Project Register'!AH:AH)/1000</f>
        <v>10</v>
      </c>
      <c r="U35" s="9">
        <f>SUMIF('Project Register'!$E:$E,'Implementation Plan MASTER'!$F35,'Project Register'!AI:AI)/1000</f>
        <v>10</v>
      </c>
      <c r="W35" s="62" t="s">
        <v>84</v>
      </c>
      <c r="X35" s="62"/>
      <c r="Y35" s="62"/>
    </row>
    <row r="36" spans="1:25" ht="23.25" customHeight="1">
      <c r="A36" s="87">
        <v>3</v>
      </c>
      <c r="B36" s="261"/>
      <c r="C36" s="214" t="str">
        <f t="shared" si="6"/>
        <v>Output 3.1 Interoperable, affordable and resilient observation network progressively remediated, expanded and sustained</v>
      </c>
      <c r="D36" s="214">
        <v>74</v>
      </c>
      <c r="E36" s="214" t="s">
        <v>85</v>
      </c>
      <c r="F36" s="110" t="s">
        <v>86</v>
      </c>
      <c r="G36" s="44"/>
      <c r="H36" s="44">
        <v>2300000</v>
      </c>
      <c r="I36" s="213">
        <f>19750000/1000</f>
        <v>19750</v>
      </c>
      <c r="J36" s="44"/>
      <c r="K36" s="6"/>
      <c r="L36" s="26">
        <f t="shared" si="7"/>
        <v>0</v>
      </c>
      <c r="M36" s="51">
        <f>SUMIF('Project Register'!E:E,'Implementation Plan MASTER'!F36,'Project Register'!V:V)</f>
        <v>0</v>
      </c>
      <c r="N36" s="9">
        <f>SUMIF('Project Register'!E:E,'Implementation Plan MASTER'!F36,'Project Register'!AA:AA)/1000</f>
        <v>0</v>
      </c>
      <c r="O36" s="5"/>
      <c r="P36" s="71">
        <f>SUMIF('Project Register'!$E:$E,'Implementation Plan MASTER'!$F36,'Project Register'!AD:AD)/1000</f>
        <v>0</v>
      </c>
      <c r="Q36" s="9">
        <f>SUMIF('Project Register'!$E:$E,'Implementation Plan MASTER'!$F36,'Project Register'!AE:AE)/1000</f>
        <v>0</v>
      </c>
      <c r="R36" s="9">
        <f>SUMIF('Project Register'!$E:$E,'Implementation Plan MASTER'!$F36,'Project Register'!AF:AF)/1000</f>
        <v>0</v>
      </c>
      <c r="S36" s="9">
        <f>SUMIF('Project Register'!$E:$E,'Implementation Plan MASTER'!$F36,'Project Register'!AG:AG)/1000</f>
        <v>0</v>
      </c>
      <c r="T36" s="9">
        <f>SUMIF('Project Register'!$E:$E,'Implementation Plan MASTER'!$F36,'Project Register'!AH:AH)/1000</f>
        <v>0</v>
      </c>
      <c r="U36" s="9">
        <f>SUMIF('Project Register'!$E:$E,'Implementation Plan MASTER'!$F36,'Project Register'!AI:AI)/1000</f>
        <v>0</v>
      </c>
      <c r="W36" s="1" t="s">
        <v>87</v>
      </c>
    </row>
    <row r="37" spans="1:25" ht="21" customHeight="1">
      <c r="A37" s="87">
        <v>3</v>
      </c>
      <c r="B37" s="261"/>
      <c r="C37" s="214" t="str">
        <f t="shared" si="6"/>
        <v>Output 3.1 Interoperable, affordable and resilient observation network progressively remediated, expanded and sustained</v>
      </c>
      <c r="D37" s="214">
        <v>75</v>
      </c>
      <c r="E37" s="214" t="s">
        <v>88</v>
      </c>
      <c r="F37" s="110" t="s">
        <v>89</v>
      </c>
      <c r="G37" s="44"/>
      <c r="H37" s="44"/>
      <c r="I37" s="213">
        <f>13930000/1000</f>
        <v>13930</v>
      </c>
      <c r="J37" s="44"/>
      <c r="K37" s="6"/>
      <c r="L37" s="26">
        <f t="shared" si="7"/>
        <v>0</v>
      </c>
      <c r="M37" s="51">
        <f>SUMIF('Project Register'!E:E,'Implementation Plan MASTER'!F37,'Project Register'!V:V)</f>
        <v>0</v>
      </c>
      <c r="N37" s="9">
        <f>SUMIF('Project Register'!E:E,'Implementation Plan MASTER'!F37,'Project Register'!AA:AA)/1000</f>
        <v>0</v>
      </c>
      <c r="O37" s="5"/>
      <c r="P37" s="71">
        <f>SUMIF('Project Register'!$E:$E,'Implementation Plan MASTER'!$F37,'Project Register'!AD:AD)/1000</f>
        <v>0</v>
      </c>
      <c r="Q37" s="9">
        <f>SUMIF('Project Register'!$E:$E,'Implementation Plan MASTER'!$F37,'Project Register'!AE:AE)/1000</f>
        <v>0</v>
      </c>
      <c r="R37" s="9">
        <f>SUMIF('Project Register'!$E:$E,'Implementation Plan MASTER'!$F37,'Project Register'!AF:AF)/1000</f>
        <v>0</v>
      </c>
      <c r="S37" s="9">
        <f>SUMIF('Project Register'!$E:$E,'Implementation Plan MASTER'!$F37,'Project Register'!AG:AG)/1000</f>
        <v>0</v>
      </c>
      <c r="T37" s="9">
        <f>SUMIF('Project Register'!$E:$E,'Implementation Plan MASTER'!$F37,'Project Register'!AH:AH)/1000</f>
        <v>0</v>
      </c>
      <c r="U37" s="9">
        <f>SUMIF('Project Register'!$E:$E,'Implementation Plan MASTER'!$F37,'Project Register'!AI:AI)/1000</f>
        <v>0</v>
      </c>
      <c r="W37" s="1" t="s">
        <v>90</v>
      </c>
    </row>
    <row r="38" spans="1:25" ht="39" customHeight="1">
      <c r="A38" s="87">
        <v>3</v>
      </c>
      <c r="B38" s="261"/>
      <c r="C38" s="214" t="str">
        <f t="shared" si="6"/>
        <v>Output 3.1 Interoperable, affordable and resilient observation network progressively remediated, expanded and sustained</v>
      </c>
      <c r="D38" s="214">
        <v>76</v>
      </c>
      <c r="E38" s="214" t="s">
        <v>91</v>
      </c>
      <c r="F38" s="110" t="s">
        <v>92</v>
      </c>
      <c r="G38" s="44"/>
      <c r="H38" s="44"/>
      <c r="I38" s="213">
        <f>20520000/1000</f>
        <v>20520</v>
      </c>
      <c r="J38" s="44"/>
      <c r="K38" s="6"/>
      <c r="L38" s="26">
        <f t="shared" si="7"/>
        <v>0</v>
      </c>
      <c r="M38" s="51">
        <f>SUMIF('Project Register'!E:E,'Implementation Plan MASTER'!F38,'Project Register'!V:V)</f>
        <v>0</v>
      </c>
      <c r="N38" s="9">
        <f>SUMIF('Project Register'!E:E,'Implementation Plan MASTER'!F38,'Project Register'!AA:AA)/1000</f>
        <v>0</v>
      </c>
      <c r="O38" s="5"/>
      <c r="P38" s="71">
        <f>SUMIF('Project Register'!$E:$E,'Implementation Plan MASTER'!$F38,'Project Register'!AD:AD)/1000</f>
        <v>0</v>
      </c>
      <c r="Q38" s="9">
        <f>SUMIF('Project Register'!$E:$E,'Implementation Plan MASTER'!$F38,'Project Register'!AE:AE)/1000</f>
        <v>0</v>
      </c>
      <c r="R38" s="9">
        <f>SUMIF('Project Register'!$E:$E,'Implementation Plan MASTER'!$F38,'Project Register'!AF:AF)/1000</f>
        <v>0</v>
      </c>
      <c r="S38" s="9">
        <f>SUMIF('Project Register'!$E:$E,'Implementation Plan MASTER'!$F38,'Project Register'!AG:AG)/1000</f>
        <v>0</v>
      </c>
      <c r="T38" s="9">
        <f>SUMIF('Project Register'!$E:$E,'Implementation Plan MASTER'!$F38,'Project Register'!AH:AH)/1000</f>
        <v>0</v>
      </c>
      <c r="U38" s="9">
        <f>SUMIF('Project Register'!$E:$E,'Implementation Plan MASTER'!$F38,'Project Register'!AI:AI)/1000</f>
        <v>0</v>
      </c>
      <c r="W38" s="62" t="s">
        <v>93</v>
      </c>
      <c r="X38" s="62"/>
      <c r="Y38" s="62"/>
    </row>
    <row r="39" spans="1:25" ht="40.5" customHeight="1">
      <c r="A39" s="87">
        <v>3</v>
      </c>
      <c r="B39" s="261"/>
      <c r="C39" s="215" t="str">
        <f t="shared" si="6"/>
        <v>Output 3.1 Interoperable, affordable and resilient observation network progressively remediated, expanded and sustained</v>
      </c>
      <c r="D39" s="215">
        <v>77</v>
      </c>
      <c r="E39" s="215" t="s">
        <v>94</v>
      </c>
      <c r="F39" s="233" t="s">
        <v>95</v>
      </c>
      <c r="G39" s="225"/>
      <c r="H39" s="225"/>
      <c r="I39" s="232">
        <f>590000/1000</f>
        <v>590</v>
      </c>
      <c r="J39" s="225"/>
      <c r="K39" s="6"/>
      <c r="L39" s="26">
        <f t="shared" si="7"/>
        <v>0</v>
      </c>
      <c r="M39" s="51">
        <f>SUMIF('Project Register'!E:E,'Implementation Plan MASTER'!F39,'Project Register'!V:V)</f>
        <v>0</v>
      </c>
      <c r="N39" s="58">
        <f>SUMIF('Project Register'!E:E,'Implementation Plan MASTER'!F39,'Project Register'!AA:AA)/1000</f>
        <v>0</v>
      </c>
      <c r="O39" s="5"/>
      <c r="P39" s="71">
        <f>SUMIF('Project Register'!$E:$E,'Implementation Plan MASTER'!$F39,'Project Register'!AD:AD)/1000</f>
        <v>0</v>
      </c>
      <c r="Q39" s="9">
        <f>SUMIF('Project Register'!$E:$E,'Implementation Plan MASTER'!$F39,'Project Register'!AE:AE)/1000</f>
        <v>0</v>
      </c>
      <c r="R39" s="58">
        <f>SUMIF('Project Register'!$E:$E,'Implementation Plan MASTER'!$F39,'Project Register'!AF:AF)/1000</f>
        <v>0</v>
      </c>
      <c r="S39" s="58">
        <f>SUMIF('Project Register'!$E:$E,'Implementation Plan MASTER'!$F39,'Project Register'!AG:AG)/1000</f>
        <v>0</v>
      </c>
      <c r="T39" s="58">
        <f>SUMIF('Project Register'!$E:$E,'Implementation Plan MASTER'!$F39,'Project Register'!AH:AH)/1000</f>
        <v>0</v>
      </c>
      <c r="U39" s="58">
        <f>SUMIF('Project Register'!$E:$E,'Implementation Plan MASTER'!$F39,'Project Register'!AI:AI)/1000</f>
        <v>0</v>
      </c>
      <c r="W39" s="62" t="s">
        <v>96</v>
      </c>
      <c r="X39" s="62"/>
      <c r="Y39" s="62"/>
    </row>
    <row r="40" spans="1:25" ht="17.25">
      <c r="A40" s="226" t="s">
        <v>97</v>
      </c>
      <c r="B40" s="203"/>
      <c r="C40" s="203"/>
      <c r="D40" s="203"/>
      <c r="E40" s="203"/>
      <c r="F40" s="203"/>
      <c r="G40" s="227">
        <f>SUM(G42:G49)</f>
        <v>300000</v>
      </c>
      <c r="H40" s="227">
        <f>SUM(H42:H49)</f>
        <v>9000000</v>
      </c>
      <c r="I40" s="228">
        <f>SUM(I42:I49)</f>
        <v>45760</v>
      </c>
      <c r="J40" s="229"/>
      <c r="K40" s="8"/>
      <c r="L40" s="25">
        <f t="shared" si="7"/>
        <v>125.00068338590756</v>
      </c>
      <c r="M40" s="53">
        <f>SUM(M42:M49)</f>
        <v>5720031.2717391299</v>
      </c>
      <c r="N40" s="130">
        <f>SUM(N42:N49)</f>
        <v>4592.9410217391305</v>
      </c>
      <c r="O40" s="130" t="e">
        <f>IF(N40*1000=GETPIVOTDATA("WRP Funding Allocated USD_",#REF!,"KRA",4),"","error")</f>
        <v>#REF!</v>
      </c>
      <c r="P40" s="131">
        <f>SUM(P42:P49)</f>
        <v>386.34893999999997</v>
      </c>
      <c r="Q40" s="130">
        <f t="shared" ref="Q40:U40" si="8">SUM(Q42:Q49)</f>
        <v>473.40373000000005</v>
      </c>
      <c r="R40" s="130">
        <f t="shared" si="8"/>
        <v>2316.3813517391309</v>
      </c>
      <c r="S40" s="130">
        <f t="shared" si="8"/>
        <v>1076.807</v>
      </c>
      <c r="T40" s="130">
        <f t="shared" si="8"/>
        <v>170</v>
      </c>
      <c r="U40" s="130">
        <f t="shared" si="8"/>
        <v>170</v>
      </c>
    </row>
    <row r="41" spans="1:25" ht="39.75" customHeight="1">
      <c r="A41" s="208"/>
      <c r="B41" s="258" t="s">
        <v>98</v>
      </c>
      <c r="C41" s="258"/>
      <c r="D41" s="258"/>
      <c r="E41" s="258"/>
      <c r="F41" s="258"/>
      <c r="G41" s="258"/>
      <c r="H41" s="258"/>
      <c r="I41" s="258"/>
      <c r="J41" s="230"/>
      <c r="K41" s="8"/>
      <c r="L41" s="25"/>
      <c r="M41" s="53"/>
      <c r="N41" s="124"/>
      <c r="O41" s="5"/>
      <c r="P41" s="134"/>
      <c r="Q41" s="124"/>
      <c r="R41" s="124"/>
      <c r="S41" s="124"/>
      <c r="T41" s="124"/>
      <c r="U41" s="124"/>
    </row>
    <row r="42" spans="1:25" ht="53.25" customHeight="1">
      <c r="A42" s="87">
        <v>4</v>
      </c>
      <c r="B42" s="219"/>
      <c r="C42" s="219" t="str">
        <f>$B$41</f>
        <v>Output 4.1 An integrated Pacific forecasting platform established and operating sustainably to global standards</v>
      </c>
      <c r="D42" s="214">
        <v>41</v>
      </c>
      <c r="E42" s="214" t="s">
        <v>99</v>
      </c>
      <c r="F42" s="110" t="s">
        <v>100</v>
      </c>
      <c r="G42" s="44">
        <v>100000</v>
      </c>
      <c r="H42" s="44">
        <f>100000+200000+700000</f>
        <v>1000000</v>
      </c>
      <c r="I42" s="213">
        <f>(11000000+7220000)/1000</f>
        <v>18220</v>
      </c>
      <c r="J42" s="44"/>
      <c r="K42" s="8"/>
      <c r="L42" s="26">
        <f>M42/I42</f>
        <v>98.089542356703092</v>
      </c>
      <c r="M42" s="51">
        <f>SUMIF('Project Register'!E:E,'Implementation Plan MASTER'!F42,'Project Register'!V:V)</f>
        <v>1787191.4617391303</v>
      </c>
      <c r="N42" s="238">
        <f>SUMIF('Project Register'!E:E,'Implementation Plan MASTER'!F42,'Project Register'!AA:AA)/1000</f>
        <v>1757.1914617391303</v>
      </c>
      <c r="O42" s="5"/>
      <c r="P42" s="71">
        <f>SUMIF('Project Register'!$E:$E,'Implementation Plan MASTER'!$F42,'Project Register'!AD:AD)/1000</f>
        <v>55.234940000000002</v>
      </c>
      <c r="Q42" s="9">
        <f>SUMIF('Project Register'!$E:$E,'Implementation Plan MASTER'!$F42,'Project Register'!AE:AE)/1000</f>
        <v>0</v>
      </c>
      <c r="R42" s="238">
        <f>SUMIF('Project Register'!$E:$E,'Implementation Plan MASTER'!$F42,'Project Register'!AF:AF)/1000</f>
        <v>901.95652173913049</v>
      </c>
      <c r="S42" s="238">
        <f>SUMIF('Project Register'!$E:$E,'Implementation Plan MASTER'!$F42,'Project Register'!AG:AG)/1000</f>
        <v>800</v>
      </c>
      <c r="T42" s="238">
        <f>SUMIF('Project Register'!$E:$E,'Implementation Plan MASTER'!$F42,'Project Register'!AH:AH)/1000</f>
        <v>0</v>
      </c>
      <c r="U42" s="9">
        <f>SUMIF('Project Register'!$E:$E,'Implementation Plan MASTER'!$F42,'Project Register'!AI:AI)/1000</f>
        <v>0</v>
      </c>
      <c r="W42" s="1" t="s">
        <v>101</v>
      </c>
      <c r="X42" s="2"/>
      <c r="Y42" s="2"/>
    </row>
    <row r="43" spans="1:25" ht="21" customHeight="1">
      <c r="A43" s="87">
        <v>1</v>
      </c>
      <c r="B43" s="259" t="s">
        <v>102</v>
      </c>
      <c r="C43" s="259"/>
      <c r="D43" s="259"/>
      <c r="E43" s="259"/>
      <c r="F43" s="259"/>
      <c r="G43" s="259"/>
      <c r="H43" s="259"/>
      <c r="I43" s="259"/>
      <c r="J43" s="218"/>
      <c r="K43" s="8"/>
      <c r="L43" s="26"/>
      <c r="M43" s="51"/>
      <c r="N43" s="9"/>
      <c r="O43" s="5"/>
      <c r="P43" s="71"/>
      <c r="Q43" s="9"/>
      <c r="R43" s="9"/>
      <c r="S43" s="9"/>
      <c r="T43" s="9"/>
      <c r="U43" s="9"/>
      <c r="W43" s="2"/>
      <c r="X43" s="2"/>
      <c r="Y43" s="2"/>
    </row>
    <row r="44" spans="1:25" ht="21" customHeight="1">
      <c r="A44" s="87">
        <v>4</v>
      </c>
      <c r="B44" s="260"/>
      <c r="C44" s="219" t="str">
        <f>$B$43</f>
        <v>OP4.2 Pacific forecasting capacity expanded and maintained</v>
      </c>
      <c r="D44" s="214">
        <v>42</v>
      </c>
      <c r="E44" s="214" t="s">
        <v>103</v>
      </c>
      <c r="F44" s="110" t="s">
        <v>104</v>
      </c>
      <c r="G44" s="44"/>
      <c r="H44" s="44"/>
      <c r="I44" s="213">
        <f>1980000/1000</f>
        <v>1980</v>
      </c>
      <c r="J44" s="44"/>
      <c r="K44" s="8"/>
      <c r="L44" s="26">
        <f>M44/I44</f>
        <v>15.151515151515152</v>
      </c>
      <c r="M44" s="51">
        <f>SUMIF('Project Register'!E:E,'Implementation Plan MASTER'!F44,'Project Register'!V:V)</f>
        <v>30000</v>
      </c>
      <c r="N44" s="9">
        <f>SUMIF('Project Register'!E:E,'Implementation Plan MASTER'!F44,'Project Register'!AA:AA)/1000</f>
        <v>30</v>
      </c>
      <c r="O44" s="5"/>
      <c r="P44" s="71">
        <f>SUMIF('Project Register'!$E:$E,'Implementation Plan MASTER'!$F44,'Project Register'!AD:AD)/1000</f>
        <v>0</v>
      </c>
      <c r="Q44" s="9">
        <f>SUMIF('Project Register'!$E:$E,'Implementation Plan MASTER'!$F44,'Project Register'!AE:AE)/1000</f>
        <v>0</v>
      </c>
      <c r="R44" s="9">
        <f>SUMIF('Project Register'!$E:$E,'Implementation Plan MASTER'!$F44,'Project Register'!AF:AF)/1000</f>
        <v>30</v>
      </c>
      <c r="S44" s="9">
        <f>SUMIF('Project Register'!$E:$E,'Implementation Plan MASTER'!$F44,'Project Register'!AG:AG)/1000</f>
        <v>0</v>
      </c>
      <c r="T44" s="9">
        <f>SUMIF('Project Register'!$E:$E,'Implementation Plan MASTER'!$F44,'Project Register'!AH:AH)/1000</f>
        <v>0</v>
      </c>
      <c r="U44" s="9">
        <f>SUMIF('Project Register'!$E:$E,'Implementation Plan MASTER'!$F44,'Project Register'!AI:AI)/1000</f>
        <v>0</v>
      </c>
      <c r="W44" s="1" t="s">
        <v>105</v>
      </c>
    </row>
    <row r="45" spans="1:25" ht="24" customHeight="1">
      <c r="A45" s="87">
        <v>4</v>
      </c>
      <c r="B45" s="261"/>
      <c r="C45" s="219" t="str">
        <f t="shared" ref="C45:C49" si="9">$B$43</f>
        <v>OP4.2 Pacific forecasting capacity expanded and maintained</v>
      </c>
      <c r="D45" s="214">
        <v>43</v>
      </c>
      <c r="E45" s="214" t="s">
        <v>106</v>
      </c>
      <c r="F45" s="110" t="s">
        <v>107</v>
      </c>
      <c r="G45" s="44"/>
      <c r="H45" s="44"/>
      <c r="I45" s="213">
        <f>6930000/1000</f>
        <v>6930</v>
      </c>
      <c r="J45" s="44"/>
      <c r="K45" s="8"/>
      <c r="L45" s="26">
        <f>M45/I45</f>
        <v>86.240548340548344</v>
      </c>
      <c r="M45" s="51">
        <f>SUMIF('Project Register'!E:E,'Implementation Plan MASTER'!F45,'Project Register'!V:V)</f>
        <v>597647</v>
      </c>
      <c r="N45" s="9">
        <f>SUMIF('Project Register'!E:E,'Implementation Plan MASTER'!F45,'Project Register'!AA:AA)/1000</f>
        <v>597.64700000000005</v>
      </c>
      <c r="O45" s="5"/>
      <c r="P45" s="71">
        <f>SUMIF('Project Register'!$E:$E,'Implementation Plan MASTER'!$F45,'Project Register'!AD:AD)/1000</f>
        <v>331.11399999999998</v>
      </c>
      <c r="Q45" s="238">
        <f>SUMIF('Project Register'!$E:$E,'Implementation Plan MASTER'!$F45,'Project Register'!AE:AE)/1000</f>
        <v>159.33600000000001</v>
      </c>
      <c r="R45" s="238">
        <f>SUMIF('Project Register'!$E:$E,'Implementation Plan MASTER'!$F45,'Project Register'!AF:AF)/1000</f>
        <v>107.197</v>
      </c>
      <c r="S45" s="9">
        <f>SUMIF('Project Register'!$E:$E,'Implementation Plan MASTER'!$F45,'Project Register'!AG:AG)/1000</f>
        <v>0</v>
      </c>
      <c r="T45" s="9">
        <f>SUMIF('Project Register'!$E:$E,'Implementation Plan MASTER'!$F45,'Project Register'!AH:AH)/1000</f>
        <v>0</v>
      </c>
      <c r="U45" s="9">
        <f>SUMIF('Project Register'!$E:$E,'Implementation Plan MASTER'!$F45,'Project Register'!AI:AI)/1000</f>
        <v>0</v>
      </c>
    </row>
    <row r="46" spans="1:25" ht="24" customHeight="1">
      <c r="A46" s="87">
        <v>4</v>
      </c>
      <c r="B46" s="261"/>
      <c r="C46" s="219" t="str">
        <f t="shared" si="9"/>
        <v>OP4.2 Pacific forecasting capacity expanded and maintained</v>
      </c>
      <c r="D46" s="214">
        <v>44</v>
      </c>
      <c r="E46" s="214" t="s">
        <v>108</v>
      </c>
      <c r="F46" s="110" t="s">
        <v>109</v>
      </c>
      <c r="G46" s="44"/>
      <c r="H46" s="44"/>
      <c r="I46" s="44" t="s">
        <v>23</v>
      </c>
      <c r="J46" s="44"/>
      <c r="K46" s="8"/>
      <c r="L46" s="26"/>
      <c r="M46" s="51">
        <f>SUMIF('Project Register'!E:E,'Implementation Plan MASTER'!F46,'Project Register'!V:V)</f>
        <v>0</v>
      </c>
      <c r="N46" s="9">
        <f>SUMIF('Project Register'!E:E,'Implementation Plan MASTER'!F46,'Project Register'!AA:AA)</f>
        <v>0</v>
      </c>
      <c r="O46" s="5"/>
      <c r="P46" s="71">
        <f>SUMIF('Project Register'!$E:$E,'Implementation Plan MASTER'!$F46,'Project Register'!AD:AD)/1000</f>
        <v>0</v>
      </c>
      <c r="Q46" s="9">
        <f>SUMIF('Project Register'!$E:$E,'Implementation Plan MASTER'!$F46,'Project Register'!AE:AE)/1000</f>
        <v>0</v>
      </c>
      <c r="R46" s="9">
        <f>SUMIF('Project Register'!$E:$E,'Implementation Plan MASTER'!$F46,'Project Register'!AF:AF)</f>
        <v>0</v>
      </c>
      <c r="S46" s="9">
        <f>SUMIF('Project Register'!$E:$E,'Implementation Plan MASTER'!$F46,'Project Register'!AG:AG)</f>
        <v>0</v>
      </c>
      <c r="T46" s="9">
        <f>SUMIF('Project Register'!$E:$E,'Implementation Plan MASTER'!$F46,'Project Register'!AH:AH)</f>
        <v>0</v>
      </c>
      <c r="U46" s="9">
        <f>SUMIF('Project Register'!$E:$E,'Implementation Plan MASTER'!$F46,'Project Register'!AI:AI)</f>
        <v>0</v>
      </c>
      <c r="W46" s="1" t="s">
        <v>110</v>
      </c>
    </row>
    <row r="47" spans="1:25" ht="22.5" customHeight="1">
      <c r="A47" s="87">
        <v>4</v>
      </c>
      <c r="B47" s="261"/>
      <c r="C47" s="219" t="str">
        <f t="shared" si="9"/>
        <v>OP4.2 Pacific forecasting capacity expanded and maintained</v>
      </c>
      <c r="D47" s="214">
        <v>45</v>
      </c>
      <c r="E47" s="214" t="s">
        <v>111</v>
      </c>
      <c r="F47" s="110" t="s">
        <v>112</v>
      </c>
      <c r="G47" s="44">
        <v>200000</v>
      </c>
      <c r="H47" s="44">
        <v>4900000</v>
      </c>
      <c r="I47" s="213">
        <f>12250000/1000</f>
        <v>12250</v>
      </c>
      <c r="J47" s="44"/>
      <c r="K47" s="8"/>
      <c r="L47" s="26">
        <f>M47/I47</f>
        <v>98.36138448979591</v>
      </c>
      <c r="M47" s="51">
        <f>SUMIF('Project Register'!E:E,'Implementation Plan MASTER'!F47,'Project Register'!V:V)</f>
        <v>1204926.96</v>
      </c>
      <c r="N47" s="238">
        <f>SUMIF('Project Register'!E:E,'Implementation Plan MASTER'!F47,'Project Register'!AA:AA)/1000</f>
        <v>1204.92696</v>
      </c>
      <c r="O47" s="5"/>
      <c r="P47" s="71">
        <f>SUMIF('Project Register'!$E:$E,'Implementation Plan MASTER'!$F47,'Project Register'!AD:AD)/1000</f>
        <v>0</v>
      </c>
      <c r="Q47" s="238">
        <f>SUMIF('Project Register'!$E:$E,'Implementation Plan MASTER'!$F47,'Project Register'!AE:AE)/1000</f>
        <v>300.80463000000003</v>
      </c>
      <c r="R47" s="238">
        <f>SUMIF('Project Register'!$E:$E,'Implementation Plan MASTER'!$F47,'Project Register'!AF:AF)/1000</f>
        <v>797.31533000000013</v>
      </c>
      <c r="S47" s="9">
        <f>SUMIF('Project Register'!$E:$E,'Implementation Plan MASTER'!$F47,'Project Register'!AG:AG)/1000</f>
        <v>106.807</v>
      </c>
      <c r="T47" s="9">
        <f>SUMIF('Project Register'!$E:$E,'Implementation Plan MASTER'!$F47,'Project Register'!AH:AH)/1000</f>
        <v>0</v>
      </c>
      <c r="U47" s="9">
        <f>SUMIF('Project Register'!$E:$E,'Implementation Plan MASTER'!$F47,'Project Register'!AI:AI)/1000</f>
        <v>0</v>
      </c>
      <c r="W47" s="1" t="s">
        <v>113</v>
      </c>
      <c r="Y47" s="66"/>
    </row>
    <row r="48" spans="1:25" ht="34.5" customHeight="1">
      <c r="A48" s="87">
        <v>4</v>
      </c>
      <c r="B48" s="261"/>
      <c r="C48" s="219" t="str">
        <f t="shared" si="9"/>
        <v>OP4.2 Pacific forecasting capacity expanded and maintained</v>
      </c>
      <c r="D48" s="214">
        <v>46</v>
      </c>
      <c r="E48" s="214" t="s">
        <v>114</v>
      </c>
      <c r="F48" s="110" t="s">
        <v>115</v>
      </c>
      <c r="G48" s="44"/>
      <c r="H48" s="44" t="s">
        <v>23</v>
      </c>
      <c r="I48" s="44" t="s">
        <v>23</v>
      </c>
      <c r="J48" s="44"/>
      <c r="K48" s="8"/>
      <c r="L48" s="26"/>
      <c r="M48" s="51">
        <f>SUMIF('Project Register'!E:E,'Implementation Plan MASTER'!F48,'Project Register'!V:V)</f>
        <v>1190064</v>
      </c>
      <c r="N48" s="9">
        <f>SUMIF('Project Register'!E:E,'Implementation Plan MASTER'!F48,'Project Register'!AA:AA)/1000</f>
        <v>92.973749999999995</v>
      </c>
      <c r="O48" s="5"/>
      <c r="P48" s="71">
        <f>SUMIF('Project Register'!$E:$E,'Implementation Plan MASTER'!$F48,'Project Register'!AD:AD)/1000</f>
        <v>0</v>
      </c>
      <c r="Q48" s="9">
        <f>SUMIF('Project Register'!$E:$E,'Implementation Plan MASTER'!$F48,'Project Register'!AE:AE)/1000</f>
        <v>0</v>
      </c>
      <c r="R48" s="9">
        <f>SUMIF('Project Register'!$E:$E,'Implementation Plan MASTER'!$F48,'Project Register'!AF:AF)/1000</f>
        <v>92.973749999999995</v>
      </c>
      <c r="S48" s="9">
        <f>SUMIF('Project Register'!$E:$E,'Implementation Plan MASTER'!$F48,'Project Register'!AG:AG)/1000</f>
        <v>0</v>
      </c>
      <c r="T48" s="9">
        <f>SUMIF('Project Register'!$E:$E,'Implementation Plan MASTER'!$F48,'Project Register'!AH:AH)/1000</f>
        <v>0</v>
      </c>
      <c r="U48" s="9">
        <f>SUMIF('Project Register'!$E:$E,'Implementation Plan MASTER'!$F48,'Project Register'!AI:AI)/1000</f>
        <v>0</v>
      </c>
      <c r="W48" s="1" t="s">
        <v>116</v>
      </c>
    </row>
    <row r="49" spans="1:25" ht="39.75" customHeight="1">
      <c r="A49" s="87">
        <v>4</v>
      </c>
      <c r="B49" s="261"/>
      <c r="C49" s="221" t="str">
        <f t="shared" si="9"/>
        <v>OP4.2 Pacific forecasting capacity expanded and maintained</v>
      </c>
      <c r="D49" s="215">
        <v>47</v>
      </c>
      <c r="E49" s="215" t="s">
        <v>117</v>
      </c>
      <c r="F49" s="231" t="s">
        <v>118</v>
      </c>
      <c r="G49" s="225" t="s">
        <v>119</v>
      </c>
      <c r="H49" s="225">
        <f>3100000</f>
        <v>3100000</v>
      </c>
      <c r="I49" s="232">
        <f>6380000/1000</f>
        <v>6380</v>
      </c>
      <c r="J49" s="225"/>
      <c r="K49" s="8"/>
      <c r="L49" s="26">
        <f>M49/I49</f>
        <v>142.66486677115986</v>
      </c>
      <c r="M49" s="51">
        <f>SUMIF('Project Register'!E:E,'Implementation Plan MASTER'!F49,'Project Register'!V:V)</f>
        <v>910201.85</v>
      </c>
      <c r="N49" s="240">
        <f>SUMIF('Project Register'!E:E,'Implementation Plan MASTER'!F49,'Project Register'!AA:AA)/1000</f>
        <v>910.20184999999992</v>
      </c>
      <c r="O49" s="5"/>
      <c r="P49" s="71">
        <f>SUMIF('Project Register'!$E:$E,'Implementation Plan MASTER'!$F49,'Project Register'!AD:AD)/1000</f>
        <v>0</v>
      </c>
      <c r="Q49" s="238">
        <f>SUMIF('Project Register'!$E:$E,'Implementation Plan MASTER'!$F49,'Project Register'!AE:AE)/1000</f>
        <v>13.2631</v>
      </c>
      <c r="R49" s="240">
        <f>SUMIF('Project Register'!$E:$E,'Implementation Plan MASTER'!$F49,'Project Register'!AF:AF)/1000</f>
        <v>386.93875000000003</v>
      </c>
      <c r="S49" s="58">
        <f>SUMIF('Project Register'!$E:$E,'Implementation Plan MASTER'!$F49,'Project Register'!AG:AG)/1000</f>
        <v>170</v>
      </c>
      <c r="T49" s="58">
        <f>SUMIF('Project Register'!$E:$E,'Implementation Plan MASTER'!$F49,'Project Register'!AH:AH)/1000</f>
        <v>170</v>
      </c>
      <c r="U49" s="58">
        <f>SUMIF('Project Register'!$E:$E,'Implementation Plan MASTER'!$F49,'Project Register'!AI:AI)/1000</f>
        <v>170</v>
      </c>
      <c r="W49" s="1" t="s">
        <v>120</v>
      </c>
    </row>
    <row r="50" spans="1:25" ht="39" customHeight="1">
      <c r="A50" s="266" t="s">
        <v>121</v>
      </c>
      <c r="B50" s="266"/>
      <c r="C50" s="266"/>
      <c r="D50" s="266"/>
      <c r="E50" s="266"/>
      <c r="F50" s="266"/>
      <c r="G50" s="227">
        <f>SUM(G52:G57)</f>
        <v>860000</v>
      </c>
      <c r="H50" s="227">
        <f>SUM(H52:H57)</f>
        <v>2560000</v>
      </c>
      <c r="I50" s="228">
        <f>SUM(I52:I57)</f>
        <v>9520</v>
      </c>
      <c r="J50" s="229"/>
      <c r="K50" s="8"/>
      <c r="L50" s="25">
        <f>M50/I50</f>
        <v>63.872030261234983</v>
      </c>
      <c r="M50" s="52">
        <f>SUM(M52:M58)</f>
        <v>608061.72808695701</v>
      </c>
      <c r="N50" s="130">
        <f>SUM(N52:N58)</f>
        <v>608.06172808695692</v>
      </c>
      <c r="O50" s="130" t="e">
        <f>IF(N50*1000=GETPIVOTDATA("WRP Funding Allocated USD_",#REF!,"KRA",5),"","error")</f>
        <v>#REF!</v>
      </c>
      <c r="P50" s="131">
        <f>SUM(P52:P58)</f>
        <v>0</v>
      </c>
      <c r="Q50" s="130">
        <f>SUM(Q52:Q58)</f>
        <v>39.324689999999997</v>
      </c>
      <c r="R50" s="130">
        <f t="shared" ref="R50:U50" si="10">SUM(R52:R58)</f>
        <v>335.47503717391345</v>
      </c>
      <c r="S50" s="130">
        <f t="shared" si="10"/>
        <v>70.000000913043493</v>
      </c>
      <c r="T50" s="130">
        <f t="shared" si="10"/>
        <v>0</v>
      </c>
      <c r="U50" s="130">
        <f t="shared" si="10"/>
        <v>163.262</v>
      </c>
    </row>
    <row r="51" spans="1:25" ht="54" customHeight="1">
      <c r="A51" s="208"/>
      <c r="B51" s="258" t="s">
        <v>122</v>
      </c>
      <c r="C51" s="258"/>
      <c r="D51" s="258"/>
      <c r="E51" s="258"/>
      <c r="F51" s="258"/>
      <c r="G51" s="258"/>
      <c r="H51" s="258"/>
      <c r="I51" s="258"/>
      <c r="J51" s="230"/>
      <c r="K51" s="8"/>
      <c r="L51" s="25"/>
      <c r="M51" s="52"/>
      <c r="N51" s="9"/>
      <c r="O51" s="5"/>
      <c r="P51" s="71"/>
      <c r="Q51" s="9"/>
      <c r="R51" s="9"/>
      <c r="S51" s="9"/>
      <c r="T51" s="9"/>
      <c r="U51" s="9"/>
    </row>
    <row r="52" spans="1:25" ht="56.25" customHeight="1">
      <c r="A52" s="87">
        <v>5</v>
      </c>
      <c r="B52" s="260"/>
      <c r="C52" s="214" t="str">
        <f>$B$51</f>
        <v>Output 5.1 Pacific capacity and collaborative approaches to deliver locally-relevant, impact-based, inclusive and accessible forecasts and warnings for end users strengthened and sustained</v>
      </c>
      <c r="D52" s="214">
        <v>51</v>
      </c>
      <c r="E52" s="214" t="s">
        <v>123</v>
      </c>
      <c r="F52" s="110" t="s">
        <v>124</v>
      </c>
      <c r="G52" s="44">
        <f>500000+160000+50000</f>
        <v>710000</v>
      </c>
      <c r="H52" s="44">
        <f>500000+160000</f>
        <v>660000</v>
      </c>
      <c r="I52" s="213">
        <f>(500000+160000)/1000</f>
        <v>660</v>
      </c>
      <c r="J52" s="44"/>
      <c r="K52" s="8"/>
      <c r="L52" s="26">
        <f>M52/I52</f>
        <v>106.06060744400529</v>
      </c>
      <c r="M52" s="51">
        <f>SUMIF('Project Register'!E:E,'Implementation Plan MASTER'!F52,'Project Register'!V:V)</f>
        <v>70000.000913043492</v>
      </c>
      <c r="N52" s="238">
        <f>SUMIF('Project Register'!E:E,'Implementation Plan MASTER'!F52,'Project Register'!AA:AA)/1000</f>
        <v>70.000000913043493</v>
      </c>
      <c r="O52" s="5"/>
      <c r="P52" s="71">
        <f>SUMIF('Project Register'!$E:$E,'Implementation Plan MASTER'!$F52,'Project Register'!AD:AD)/1000</f>
        <v>0</v>
      </c>
      <c r="Q52" s="9">
        <f>SUMIF('Project Register'!$E:$E,'Implementation Plan MASTER'!$F52,'Project Register'!AE:AE)/1000</f>
        <v>0</v>
      </c>
      <c r="R52" s="9">
        <f>SUMIF('Project Register'!$E:$E,'Implementation Plan MASTER'!$F52,'Project Register'!AF:AF)/1000</f>
        <v>0</v>
      </c>
      <c r="S52" s="238">
        <f>SUMIF('Project Register'!$E:$E,'Implementation Plan MASTER'!$F52,'Project Register'!AG:AG)/1000</f>
        <v>70.000000913043493</v>
      </c>
      <c r="T52" s="9">
        <f>SUMIF('Project Register'!$E:$E,'Implementation Plan MASTER'!$F52,'Project Register'!AH:AH)/1000</f>
        <v>0</v>
      </c>
      <c r="U52" s="9">
        <f>SUMIF('Project Register'!$E:$E,'Implementation Plan MASTER'!$F52,'Project Register'!AI:AI)/1000</f>
        <v>0</v>
      </c>
      <c r="W52" s="2" t="s">
        <v>125</v>
      </c>
      <c r="X52" s="2"/>
      <c r="Y52" s="2"/>
    </row>
    <row r="53" spans="1:25" ht="56.25" customHeight="1">
      <c r="A53" s="87">
        <v>5</v>
      </c>
      <c r="B53" s="261"/>
      <c r="C53" s="214" t="str">
        <f t="shared" ref="C53:C58" si="11">$B$51</f>
        <v>Output 5.1 Pacific capacity and collaborative approaches to deliver locally-relevant, impact-based, inclusive and accessible forecasts and warnings for end users strengthened and sustained</v>
      </c>
      <c r="D53" s="214">
        <v>52</v>
      </c>
      <c r="E53" s="214" t="s">
        <v>126</v>
      </c>
      <c r="F53" s="110" t="s">
        <v>127</v>
      </c>
      <c r="G53" s="44"/>
      <c r="H53" s="44">
        <v>1000000</v>
      </c>
      <c r="I53" s="213">
        <f>3930000/1000</f>
        <v>3930</v>
      </c>
      <c r="J53" s="44"/>
      <c r="K53" s="8"/>
      <c r="L53" s="26">
        <f>M53/I53</f>
        <v>0</v>
      </c>
      <c r="M53" s="51">
        <f>SUMIF('Project Register'!E:E,'Implementation Plan MASTER'!F53,'Project Register'!V:V)</f>
        <v>0</v>
      </c>
      <c r="N53" s="9">
        <f>SUMIF('Project Register'!E:E,'Implementation Plan MASTER'!F53,'Project Register'!AA:AA)/1000</f>
        <v>0</v>
      </c>
      <c r="O53" s="5"/>
      <c r="P53" s="71">
        <f>SUMIF('Project Register'!$E:$E,'Implementation Plan MASTER'!$F53,'Project Register'!AD:AD)/1000</f>
        <v>0</v>
      </c>
      <c r="Q53" s="9">
        <f>SUMIF('Project Register'!$E:$E,'Implementation Plan MASTER'!$F53,'Project Register'!AE:AE)/1000</f>
        <v>0</v>
      </c>
      <c r="R53" s="9">
        <f>SUMIF('Project Register'!$E:$E,'Implementation Plan MASTER'!$F53,'Project Register'!AF:AF)/1000</f>
        <v>0</v>
      </c>
      <c r="S53" s="9">
        <f>SUMIF('Project Register'!$E:$E,'Implementation Plan MASTER'!$F53,'Project Register'!AG:AG)/1000</f>
        <v>0</v>
      </c>
      <c r="T53" s="9">
        <f>SUMIF('Project Register'!$E:$E,'Implementation Plan MASTER'!$F53,'Project Register'!AH:AH)/1000</f>
        <v>0</v>
      </c>
      <c r="U53" s="9">
        <f>SUMIF('Project Register'!$E:$E,'Implementation Plan MASTER'!$F53,'Project Register'!AI:AI)/1000</f>
        <v>0</v>
      </c>
      <c r="W53" s="2" t="s">
        <v>128</v>
      </c>
      <c r="X53" s="2"/>
      <c r="Y53" s="2"/>
    </row>
    <row r="54" spans="1:25" ht="39.75" customHeight="1">
      <c r="A54" s="87">
        <v>5</v>
      </c>
      <c r="B54" s="261"/>
      <c r="C54" s="214" t="str">
        <f t="shared" si="11"/>
        <v>Output 5.1 Pacific capacity and collaborative approaches to deliver locally-relevant, impact-based, inclusive and accessible forecasts and warnings for end users strengthened and sustained</v>
      </c>
      <c r="D54" s="214">
        <v>53</v>
      </c>
      <c r="E54" s="214" t="s">
        <v>129</v>
      </c>
      <c r="F54" s="110" t="s">
        <v>130</v>
      </c>
      <c r="G54" s="44"/>
      <c r="H54" s="44">
        <v>400000</v>
      </c>
      <c r="I54" s="213">
        <f>(3930000+500000)/1000</f>
        <v>4430</v>
      </c>
      <c r="J54" s="44"/>
      <c r="K54" s="8"/>
      <c r="L54" s="26">
        <f>M54/I54</f>
        <v>0</v>
      </c>
      <c r="M54" s="51">
        <f>SUMIF('Project Register'!E:E,'Implementation Plan MASTER'!F54,'Project Register'!V:V)</f>
        <v>0</v>
      </c>
      <c r="N54" s="9">
        <f>SUMIF('Project Register'!E:E,'Implementation Plan MASTER'!F54,'Project Register'!AA:AA)/1000</f>
        <v>0</v>
      </c>
      <c r="O54" s="5"/>
      <c r="P54" s="71">
        <f>SUMIF('Project Register'!$E:$E,'Implementation Plan MASTER'!$F54,'Project Register'!AD:AD)/1000</f>
        <v>0</v>
      </c>
      <c r="Q54" s="9">
        <f>SUMIF('Project Register'!$E:$E,'Implementation Plan MASTER'!$F54,'Project Register'!AE:AE)/1000</f>
        <v>0</v>
      </c>
      <c r="R54" s="9">
        <f>SUMIF('Project Register'!$E:$E,'Implementation Plan MASTER'!$F54,'Project Register'!AF:AF)/1000</f>
        <v>0</v>
      </c>
      <c r="S54" s="9">
        <f>SUMIF('Project Register'!$E:$E,'Implementation Plan MASTER'!$F54,'Project Register'!AG:AG)/1000</f>
        <v>0</v>
      </c>
      <c r="T54" s="9">
        <f>SUMIF('Project Register'!$E:$E,'Implementation Plan MASTER'!$F54,'Project Register'!AH:AH)/1000</f>
        <v>0</v>
      </c>
      <c r="U54" s="9">
        <f>SUMIF('Project Register'!$E:$E,'Implementation Plan MASTER'!$F54,'Project Register'!AI:AI)/1000</f>
        <v>0</v>
      </c>
      <c r="W54" s="1" t="s">
        <v>131</v>
      </c>
    </row>
    <row r="55" spans="1:25" ht="39.75" customHeight="1">
      <c r="A55" s="87">
        <v>5</v>
      </c>
      <c r="B55" s="261"/>
      <c r="C55" s="214" t="str">
        <f t="shared" si="11"/>
        <v>Output 5.1 Pacific capacity and collaborative approaches to deliver locally-relevant, impact-based, inclusive and accessible forecasts and warnings for end users strengthened and sustained</v>
      </c>
      <c r="D55" s="214">
        <v>54</v>
      </c>
      <c r="E55" s="214" t="s">
        <v>132</v>
      </c>
      <c r="F55" s="110" t="s">
        <v>133</v>
      </c>
      <c r="G55" s="44">
        <v>50000</v>
      </c>
      <c r="H55" s="44" t="s">
        <v>23</v>
      </c>
      <c r="I55" s="44" t="s">
        <v>23</v>
      </c>
      <c r="J55" s="44"/>
      <c r="K55" s="8"/>
      <c r="L55" s="26"/>
      <c r="M55" s="51">
        <f>SUMIF('Project Register'!E:E,'Implementation Plan MASTER'!F55,'Project Register'!V:V)</f>
        <v>194543.89673913043</v>
      </c>
      <c r="N55" s="238">
        <f>SUMIF('Project Register'!E:E,'Implementation Plan MASTER'!F55,'Project Register'!AA:AA)/1000</f>
        <v>194.54389673913045</v>
      </c>
      <c r="O55" s="5"/>
      <c r="P55" s="71">
        <f>SUMIF('Project Register'!$E:$E,'Implementation Plan MASTER'!$F55,'Project Register'!AD:AD)/1000</f>
        <v>0</v>
      </c>
      <c r="Q55" s="9">
        <f>SUMIF('Project Register'!$E:$E,'Implementation Plan MASTER'!$F55,'Project Register'!AE:AE)/1000</f>
        <v>0</v>
      </c>
      <c r="R55" s="238">
        <f>SUMIF('Project Register'!$E:$E,'Implementation Plan MASTER'!$F55,'Project Register'!AF:AF)/1000</f>
        <v>194.54389673913045</v>
      </c>
      <c r="S55" s="9">
        <f>SUMIF('Project Register'!$E:$E,'Implementation Plan MASTER'!$F55,'Project Register'!AG:AG)/1000</f>
        <v>0</v>
      </c>
      <c r="T55" s="9">
        <f>SUMIF('Project Register'!$E:$E,'Implementation Plan MASTER'!$F55,'Project Register'!AH:AH)/1000</f>
        <v>0</v>
      </c>
      <c r="U55" s="9">
        <f>SUMIF('Project Register'!$E:$E,'Implementation Plan MASTER'!$F55,'Project Register'!AI:AI)/1000</f>
        <v>0</v>
      </c>
      <c r="W55" s="2" t="s">
        <v>134</v>
      </c>
      <c r="X55" s="2"/>
      <c r="Y55" s="2"/>
    </row>
    <row r="56" spans="1:25" ht="57.75" customHeight="1">
      <c r="A56" s="87">
        <v>5</v>
      </c>
      <c r="B56" s="261"/>
      <c r="C56" s="214" t="str">
        <f t="shared" si="11"/>
        <v>Output 5.1 Pacific capacity and collaborative approaches to deliver locally-relevant, impact-based, inclusive and accessible forecasts and warnings for end users strengthened and sustained</v>
      </c>
      <c r="D56" s="214">
        <v>55</v>
      </c>
      <c r="E56" s="214" t="s">
        <v>135</v>
      </c>
      <c r="F56" s="110" t="s">
        <v>136</v>
      </c>
      <c r="G56" s="44"/>
      <c r="H56" s="44" t="s">
        <v>23</v>
      </c>
      <c r="I56" s="44" t="s">
        <v>23</v>
      </c>
      <c r="J56" s="44"/>
      <c r="K56" s="8"/>
      <c r="L56" s="26"/>
      <c r="M56" s="51">
        <f>SUMIF('Project Register'!E:E,'Implementation Plan MASTER'!F56,'Project Register'!V:V)</f>
        <v>22530.699999999997</v>
      </c>
      <c r="N56" s="9">
        <f>SUMIF('Project Register'!E:E,'Implementation Plan MASTER'!F56,'Project Register'!AA:AA)/1000</f>
        <v>22.530699999999996</v>
      </c>
      <c r="O56" s="5"/>
      <c r="P56" s="71">
        <f>SUMIF('Project Register'!$E:$E,'Implementation Plan MASTER'!$F56,'Project Register'!AD:AD)/1000</f>
        <v>0</v>
      </c>
      <c r="Q56" s="9">
        <f>SUMIF('Project Register'!$E:$E,'Implementation Plan MASTER'!$F56,'Project Register'!AE:AE)/1000</f>
        <v>22.530699999999996</v>
      </c>
      <c r="R56" s="9">
        <f>SUMIF('Project Register'!$E:$E,'Implementation Plan MASTER'!$F56,'Project Register'!AF:AF)/1000</f>
        <v>0</v>
      </c>
      <c r="S56" s="9">
        <f>SUMIF('Project Register'!$E:$E,'Implementation Plan MASTER'!$F56,'Project Register'!AG:AG)/1000</f>
        <v>0</v>
      </c>
      <c r="T56" s="9">
        <f>SUMIF('Project Register'!$E:$E,'Implementation Plan MASTER'!$F56,'Project Register'!AH:AH)/1000</f>
        <v>0</v>
      </c>
      <c r="U56" s="9">
        <f>SUMIF('Project Register'!$E:$E,'Implementation Plan MASTER'!$F56,'Project Register'!AI:AI)/1000</f>
        <v>0</v>
      </c>
      <c r="W56" s="1" t="s">
        <v>137</v>
      </c>
    </row>
    <row r="57" spans="1:25" ht="39.75" customHeight="1">
      <c r="A57" s="87">
        <v>5</v>
      </c>
      <c r="B57" s="261"/>
      <c r="C57" s="214" t="str">
        <f t="shared" si="11"/>
        <v>Output 5.1 Pacific capacity and collaborative approaches to deliver locally-relevant, impact-based, inclusive and accessible forecasts and warnings for end users strengthened and sustained</v>
      </c>
      <c r="D57" s="214">
        <v>56</v>
      </c>
      <c r="E57" s="214" t="s">
        <v>138</v>
      </c>
      <c r="F57" s="110" t="s">
        <v>139</v>
      </c>
      <c r="G57" s="44">
        <v>100000</v>
      </c>
      <c r="H57" s="44">
        <v>500000</v>
      </c>
      <c r="I57" s="213">
        <f>500000/1000</f>
        <v>500</v>
      </c>
      <c r="J57" s="44"/>
      <c r="K57" s="8"/>
      <c r="L57" s="26">
        <f>M57/I57</f>
        <v>315.45026086956602</v>
      </c>
      <c r="M57" s="51">
        <f>SUMIF('Project Register'!E:E,'Implementation Plan MASTER'!F57,'Project Register'!V:V)</f>
        <v>157725.130434783</v>
      </c>
      <c r="N57" s="9">
        <f>SUMIF('Project Register'!E:E,'Implementation Plan MASTER'!F57,'Project Register'!AA:AA)/1000</f>
        <v>157.72513043478301</v>
      </c>
      <c r="O57" s="5"/>
      <c r="P57" s="71">
        <f>SUMIF('Project Register'!$E:$E,'Implementation Plan MASTER'!$F57,'Project Register'!AD:AD)/1000</f>
        <v>0</v>
      </c>
      <c r="Q57" s="238">
        <f>SUMIF('Project Register'!$E:$E,'Implementation Plan MASTER'!$F57,'Project Register'!AE:AE)/1000</f>
        <v>16.793990000000001</v>
      </c>
      <c r="R57" s="238">
        <f>SUMIF('Project Register'!$E:$E,'Implementation Plan MASTER'!$F57,'Project Register'!AF:AF)/1000</f>
        <v>140.931140434783</v>
      </c>
      <c r="S57" s="9">
        <f>SUMIF('Project Register'!$E:$E,'Implementation Plan MASTER'!$F57,'Project Register'!AG:AG)/1000</f>
        <v>0</v>
      </c>
      <c r="T57" s="9">
        <f>SUMIF('Project Register'!$E:$E,'Implementation Plan MASTER'!$F57,'Project Register'!AH:AH)/1000</f>
        <v>0</v>
      </c>
      <c r="U57" s="9">
        <f>SUMIF('Project Register'!$E:$E,'Implementation Plan MASTER'!$F57,'Project Register'!AI:AI)/1000</f>
        <v>0</v>
      </c>
      <c r="W57" s="35" t="s">
        <v>140</v>
      </c>
      <c r="X57" s="35"/>
      <c r="Y57" s="35"/>
    </row>
    <row r="58" spans="1:25" ht="42" customHeight="1">
      <c r="A58" s="87">
        <v>5</v>
      </c>
      <c r="B58" s="224"/>
      <c r="C58" s="215" t="str">
        <f t="shared" si="11"/>
        <v>Output 5.1 Pacific capacity and collaborative approaches to deliver locally-relevant, impact-based, inclusive and accessible forecasts and warnings for end users strengthened and sustained</v>
      </c>
      <c r="D58" s="215">
        <v>57</v>
      </c>
      <c r="E58" s="215" t="s">
        <v>141</v>
      </c>
      <c r="F58" s="233" t="s">
        <v>142</v>
      </c>
      <c r="G58" s="225" t="s">
        <v>30</v>
      </c>
      <c r="H58" s="225" t="s">
        <v>30</v>
      </c>
      <c r="I58" s="225" t="s">
        <v>30</v>
      </c>
      <c r="J58" s="225"/>
      <c r="K58" s="8"/>
      <c r="L58" s="26"/>
      <c r="M58" s="51">
        <f>SUMIF('Project Register'!E:E,'Implementation Plan MASTER'!F58,'Project Register'!V:V)</f>
        <v>163262</v>
      </c>
      <c r="N58" s="9">
        <f>SUMIF('Project Register'!E:E,'Implementation Plan MASTER'!F58,'Project Register'!AA:AA)/1000</f>
        <v>163.262</v>
      </c>
      <c r="O58" s="5"/>
      <c r="P58" s="71">
        <f>SUMIF('Project Register'!$E:$E,'Implementation Plan MASTER'!$F58,'Project Register'!AD:AD)/1000</f>
        <v>0</v>
      </c>
      <c r="Q58" s="9">
        <f>SUMIF('Project Register'!$E:$E,'Implementation Plan MASTER'!$F58,'Project Register'!AE:AE)/1000</f>
        <v>0</v>
      </c>
      <c r="R58" s="9">
        <f>SUMIF('Project Register'!$E:$E,'Implementation Plan MASTER'!$F58,'Project Register'!AF:AF)/1000</f>
        <v>0</v>
      </c>
      <c r="S58" s="9">
        <f>SUMIF('Project Register'!$E:$E,'Implementation Plan MASTER'!$F58,'Project Register'!AG:AG)/1000</f>
        <v>0</v>
      </c>
      <c r="T58" s="9">
        <f>SUMIF('Project Register'!$E:$E,'Implementation Plan MASTER'!$F58,'Project Register'!AH:AH)/1000</f>
        <v>0</v>
      </c>
      <c r="U58" s="9">
        <f>SUMIF('Project Register'!$E:$E,'Implementation Plan MASTER'!$F58,'Project Register'!AI:AI)/1000</f>
        <v>163.262</v>
      </c>
      <c r="W58" s="2" t="s">
        <v>143</v>
      </c>
      <c r="X58" s="2"/>
      <c r="Y58" s="2"/>
    </row>
    <row r="59" spans="1:25" ht="21.75" customHeight="1">
      <c r="A59" s="202" t="s">
        <v>144</v>
      </c>
      <c r="B59" s="203"/>
      <c r="C59" s="203"/>
      <c r="D59" s="203"/>
      <c r="E59" s="203"/>
      <c r="F59" s="204"/>
      <c r="G59" s="227">
        <f>SUM(G61:G63)</f>
        <v>0</v>
      </c>
      <c r="H59" s="227">
        <f>SUM(H61:H63)</f>
        <v>0</v>
      </c>
      <c r="I59" s="235" t="s">
        <v>145</v>
      </c>
      <c r="J59" s="229"/>
      <c r="K59" s="8"/>
      <c r="L59" s="47" t="e">
        <f>M59/I59</f>
        <v>#VALUE!</v>
      </c>
      <c r="M59" s="52">
        <f>SUM(M61:M63)</f>
        <v>0</v>
      </c>
      <c r="N59" s="130" t="s">
        <v>145</v>
      </c>
      <c r="O59" s="130"/>
      <c r="P59" s="131" t="s">
        <v>145</v>
      </c>
      <c r="Q59" s="130" t="s">
        <v>145</v>
      </c>
      <c r="R59" s="130" t="s">
        <v>145</v>
      </c>
      <c r="S59" s="130" t="s">
        <v>145</v>
      </c>
      <c r="T59" s="130" t="s">
        <v>145</v>
      </c>
      <c r="U59" s="130" t="s">
        <v>145</v>
      </c>
    </row>
    <row r="60" spans="1:25" ht="38.25" customHeight="1">
      <c r="A60" s="208"/>
      <c r="B60" s="258" t="s">
        <v>146</v>
      </c>
      <c r="C60" s="258"/>
      <c r="D60" s="258"/>
      <c r="E60" s="258"/>
      <c r="F60" s="258"/>
      <c r="G60" s="258"/>
      <c r="H60" s="258"/>
      <c r="I60" s="258"/>
      <c r="J60" s="230"/>
      <c r="K60" s="6"/>
      <c r="L60" s="26"/>
      <c r="M60" s="51"/>
      <c r="N60" s="124"/>
      <c r="P60" s="134"/>
      <c r="Q60" s="124"/>
      <c r="R60" s="124"/>
      <c r="S60" s="124"/>
      <c r="T60" s="124"/>
      <c r="U60" s="124"/>
      <c r="W60" s="2"/>
      <c r="X60" s="2"/>
      <c r="Y60" s="2"/>
    </row>
    <row r="61" spans="1:25" ht="24" customHeight="1">
      <c r="A61" s="87">
        <v>6</v>
      </c>
      <c r="B61" s="214"/>
      <c r="C61" s="214" t="str">
        <f>B60</f>
        <v>OP6.1 Standardised, interoperable and inclusive multi-hazard data produced, stored and shared with resilience partners</v>
      </c>
      <c r="D61" s="214"/>
      <c r="E61" s="214"/>
      <c r="F61" s="110" t="s">
        <v>147</v>
      </c>
      <c r="G61" s="44"/>
      <c r="H61" s="44"/>
      <c r="I61" s="44"/>
      <c r="J61" s="44"/>
      <c r="K61" s="8"/>
      <c r="L61" s="26"/>
      <c r="M61" s="51">
        <f>SUMIF('Project Register'!E:E,'Implementation Plan MASTER'!F61,'Project Register'!V:V)</f>
        <v>0</v>
      </c>
      <c r="N61" s="9"/>
      <c r="P61" s="71"/>
      <c r="Q61" s="9"/>
      <c r="R61" s="9"/>
      <c r="S61" s="9"/>
      <c r="T61" s="9"/>
      <c r="U61" s="9"/>
    </row>
    <row r="62" spans="1:25" ht="54.75" customHeight="1">
      <c r="A62" s="241"/>
      <c r="B62" s="259" t="s">
        <v>148</v>
      </c>
      <c r="C62" s="259"/>
      <c r="D62" s="259"/>
      <c r="E62" s="259"/>
      <c r="F62" s="259"/>
      <c r="G62" s="259"/>
      <c r="H62" s="259"/>
      <c r="I62" s="259"/>
      <c r="J62" s="218"/>
      <c r="K62" s="6"/>
      <c r="L62" s="26"/>
      <c r="M62" s="51"/>
      <c r="N62" s="9"/>
      <c r="P62" s="71"/>
      <c r="Q62" s="9"/>
      <c r="R62" s="9"/>
      <c r="S62" s="9"/>
      <c r="T62" s="9"/>
      <c r="U62" s="9"/>
      <c r="W62" s="2"/>
      <c r="X62" s="2"/>
      <c r="Y62" s="2"/>
    </row>
    <row r="63" spans="1:25" ht="24" customHeight="1" collapsed="1">
      <c r="A63" s="87">
        <v>6</v>
      </c>
      <c r="B63" s="215"/>
      <c r="C63" s="215" t="str">
        <f>B62</f>
        <v>OP6.2 Roles and responsibilities established for coordinating, updating, and reviewing hazard inputs into risk knowledge products, preparedness and response plans and procedures</v>
      </c>
      <c r="D63" s="215"/>
      <c r="E63" s="215"/>
      <c r="F63" s="233" t="s">
        <v>147</v>
      </c>
      <c r="G63" s="225"/>
      <c r="H63" s="225"/>
      <c r="I63" s="225"/>
      <c r="J63" s="225"/>
      <c r="K63" s="8"/>
      <c r="L63" s="26"/>
      <c r="M63" s="51">
        <f>SUMIF('Project Register'!E:E,'Implementation Plan MASTER'!F63,'Project Register'!V:V)</f>
        <v>0</v>
      </c>
      <c r="N63" s="58"/>
      <c r="P63" s="72"/>
      <c r="Q63" s="58"/>
      <c r="R63" s="58"/>
      <c r="S63" s="58"/>
      <c r="T63" s="58"/>
      <c r="U63" s="58"/>
    </row>
    <row r="64" spans="1:25" ht="17.25">
      <c r="A64" s="265" t="s">
        <v>149</v>
      </c>
      <c r="B64" s="265"/>
      <c r="C64" s="265"/>
      <c r="D64" s="265"/>
      <c r="E64" s="265"/>
      <c r="F64" s="265"/>
      <c r="G64" s="229">
        <v>330000</v>
      </c>
      <c r="H64" s="229">
        <v>3000000</v>
      </c>
      <c r="I64" s="236">
        <f>5560000/1000</f>
        <v>5560</v>
      </c>
      <c r="J64" s="229"/>
      <c r="K64" s="8"/>
      <c r="L64" s="25">
        <f>M64/I64</f>
        <v>109.98936151079137</v>
      </c>
      <c r="M64" s="52">
        <f>SUM(M65)</f>
        <v>611540.85</v>
      </c>
      <c r="N64" s="141">
        <f>SUM(N65)</f>
        <v>611.54084999999998</v>
      </c>
      <c r="O64" s="130" t="e">
        <f>IF(N64*1000=GETPIVOTDATA("WRP Funding Allocated USD_",#REF!,"KRA",0),"","error")</f>
        <v>#REF!</v>
      </c>
      <c r="P64" s="131">
        <f>SUM(P65)</f>
        <v>0</v>
      </c>
      <c r="Q64" s="130">
        <f t="shared" ref="Q64:U64" si="12">SUM(Q65)</f>
        <v>11.540850000000001</v>
      </c>
      <c r="R64" s="130">
        <f t="shared" si="12"/>
        <v>150</v>
      </c>
      <c r="S64" s="130">
        <f t="shared" si="12"/>
        <v>150</v>
      </c>
      <c r="T64" s="130">
        <f t="shared" si="12"/>
        <v>150</v>
      </c>
      <c r="U64" s="130">
        <f t="shared" si="12"/>
        <v>150</v>
      </c>
    </row>
    <row r="65" spans="1:21" ht="17.25">
      <c r="A65" s="87">
        <v>0</v>
      </c>
      <c r="B65" s="142"/>
      <c r="C65" s="143" t="s">
        <v>150</v>
      </c>
      <c r="D65" s="144" t="s">
        <v>151</v>
      </c>
      <c r="E65" s="144"/>
      <c r="F65" s="142" t="s">
        <v>150</v>
      </c>
      <c r="L65" s="26"/>
      <c r="M65" s="57">
        <f>SUMIF('Project Register'!E:E,'Implementation Plan MASTER'!F65,'Project Register'!V:V)</f>
        <v>611540.85</v>
      </c>
      <c r="N65" s="242">
        <f>SUMIF('Project Register'!E:E,'Implementation Plan MASTER'!F65,'Project Register'!AA:AA)/1000</f>
        <v>611.54084999999998</v>
      </c>
      <c r="O65" s="5"/>
      <c r="P65" s="71">
        <f>SUMIF('Project Register'!$E:$E,'Implementation Plan MASTER'!$F65,'Project Register'!AD:AD)/1000</f>
        <v>0</v>
      </c>
      <c r="Q65" s="238">
        <f>SUMIF('Project Register'!$E:$E,'Implementation Plan MASTER'!$F65,'Project Register'!AE:AE)/1000</f>
        <v>11.540850000000001</v>
      </c>
      <c r="R65" s="124">
        <f>SUMIF('Project Register'!$E:$E,'Implementation Plan MASTER'!$F65,'Project Register'!AF:AF)/1000</f>
        <v>150</v>
      </c>
      <c r="S65" s="124">
        <f>SUMIF('Project Register'!$E:$E,'Implementation Plan MASTER'!$F65,'Project Register'!AG:AG)/1000</f>
        <v>150</v>
      </c>
      <c r="T65" s="124">
        <f>SUMIF('Project Register'!$E:$E,'Implementation Plan MASTER'!$F65,'Project Register'!AH:AH)/1000</f>
        <v>150</v>
      </c>
      <c r="U65" s="124">
        <f>SUMIF('Project Register'!$E:$E,'Implementation Plan MASTER'!$F65,'Project Register'!AI:AI)/1000</f>
        <v>150</v>
      </c>
    </row>
    <row r="66" spans="1:21" ht="17.25">
      <c r="A66" s="114"/>
      <c r="B66" s="115"/>
      <c r="C66" s="115"/>
      <c r="D66" s="115"/>
      <c r="E66" s="115"/>
      <c r="F66" s="116" t="s">
        <v>152</v>
      </c>
      <c r="G66" s="56">
        <f>SUM(G2,G40,G50,G26,G14,G64)</f>
        <v>7710000</v>
      </c>
      <c r="H66" s="56">
        <f>SUM(H2,H40,H50,H26,H14,H64)</f>
        <v>40070000</v>
      </c>
      <c r="I66" s="247">
        <f>SUM(I2,I40,I50,I26,I14,I64)</f>
        <v>190950</v>
      </c>
      <c r="J66" s="248"/>
      <c r="K66" s="20"/>
      <c r="L66" s="249"/>
      <c r="M66" s="247">
        <f>SUM(M2,M40,M50,M26,M14,M59,M64)</f>
        <v>46709906.131132759</v>
      </c>
      <c r="N66" s="247">
        <f>SUM(N2,N40,N50,N26,N14,N59,N64)</f>
        <v>28459.990881132755</v>
      </c>
      <c r="O66" s="247" t="e">
        <f>IF(N66*1000=GETPIVOTDATA("WRP Funding Allocated USD_",#REF!),"","error")</f>
        <v>#REF!</v>
      </c>
      <c r="P66" s="250">
        <f t="shared" ref="P66:U66" si="13">SUM(P2,P40,P50,P26,P14,P59,P64)</f>
        <v>3743.2283199999997</v>
      </c>
      <c r="Q66" s="247">
        <f t="shared" si="13"/>
        <v>3939.97597</v>
      </c>
      <c r="R66" s="247">
        <f t="shared" si="13"/>
        <v>10901.933290219711</v>
      </c>
      <c r="S66" s="247">
        <f t="shared" si="13"/>
        <v>5768.2453009130431</v>
      </c>
      <c r="T66" s="247">
        <f t="shared" si="13"/>
        <v>2056.6729999999998</v>
      </c>
      <c r="U66" s="247">
        <f t="shared" si="13"/>
        <v>2049.9349999999999</v>
      </c>
    </row>
    <row r="67" spans="1:21" ht="17.25">
      <c r="F67" s="118"/>
      <c r="U67" s="1" t="str">
        <f>IF(SUM(P66:U66)=N66, "","error")</f>
        <v/>
      </c>
    </row>
    <row r="68" spans="1:21" ht="17.25">
      <c r="B68" s="117"/>
    </row>
  </sheetData>
  <sheetProtection sheet="1" autoFilter="0" pivotTables="0"/>
  <mergeCells count="22">
    <mergeCell ref="B52:B57"/>
    <mergeCell ref="B24:I24"/>
    <mergeCell ref="B60:I60"/>
    <mergeCell ref="B62:I62"/>
    <mergeCell ref="A64:F64"/>
    <mergeCell ref="B27:I27"/>
    <mergeCell ref="B29:I29"/>
    <mergeCell ref="B30:B39"/>
    <mergeCell ref="B41:I41"/>
    <mergeCell ref="B43:I43"/>
    <mergeCell ref="B44:B49"/>
    <mergeCell ref="A50:F50"/>
    <mergeCell ref="B51:I51"/>
    <mergeCell ref="A26:F26"/>
    <mergeCell ref="B15:I15"/>
    <mergeCell ref="B17:I17"/>
    <mergeCell ref="B18:B23"/>
    <mergeCell ref="B3:J3"/>
    <mergeCell ref="B4:B8"/>
    <mergeCell ref="B9:I9"/>
    <mergeCell ref="B11:I11"/>
    <mergeCell ref="B12:B13"/>
  </mergeCells>
  <phoneticPr fontId="4" type="noConversion"/>
  <conditionalFormatting sqref="L1:L1048576">
    <cfRule type="dataBar" priority="1">
      <dataBar>
        <cfvo type="min"/>
        <cfvo type="max"/>
        <color rgb="FF63C384"/>
      </dataBar>
      <extLst>
        <ext xmlns:x14="http://schemas.microsoft.com/office/spreadsheetml/2009/9/main" uri="{B025F937-C7B1-47D3-B67F-A62EFF666E3E}">
          <x14:id>{01EE61B3-51A2-48A7-A9BB-7A9D17FEC349}</x14:id>
        </ext>
      </extLst>
    </cfRule>
  </conditionalFormatting>
  <conditionalFormatting sqref="M1:N1 M67:N1048576">
    <cfRule type="cellIs" dxfId="87" priority="2" operator="equal">
      <formula>"Delayed"</formula>
    </cfRule>
    <cfRule type="cellIs" dxfId="86" priority="3" operator="equal">
      <formula>"Completed"</formula>
    </cfRule>
    <cfRule type="cellIs" dxfId="85" priority="4" operator="equal">
      <formula>"In progress"</formula>
    </cfRule>
  </conditionalFormatting>
  <dataValidations count="1">
    <dataValidation allowBlank="1" showInputMessage="1" showErrorMessage="1" promptTitle="Finance Code" prompt="This is a finance code. Max 99." sqref="D1:E1" xr:uid="{951BF3F4-81E9-47D6-85DE-98A65E6893F4}"/>
  </dataValidations>
  <pageMargins left="0.7" right="0.7" top="0.75" bottom="0.75" header="0.3" footer="0.3"/>
  <pageSetup paperSize="9" scale="56" orientation="portrait"/>
  <headerFooter>
    <oddHeader>&amp;C&amp;"Calibri"&amp;10&amp;KFF0000 OFFICIAL&amp;1#_x000D_</oddHeader>
    <oddFooter>&amp;C_x000D_&amp;1#&amp;"Calibri"&amp;10&amp;KFF0000 OFFICIAL</oddFooter>
  </headerFooter>
  <legacyDrawing r:id="rId1"/>
  <extLst>
    <ext xmlns:x14="http://schemas.microsoft.com/office/spreadsheetml/2009/9/main" uri="{78C0D931-6437-407d-A8EE-F0AAD7539E65}">
      <x14:conditionalFormattings>
        <x14:conditionalFormatting xmlns:xm="http://schemas.microsoft.com/office/excel/2006/main">
          <x14:cfRule type="dataBar" id="{01EE61B3-51A2-48A7-A9BB-7A9D17FEC349}">
            <x14:dataBar minLength="0" maxLength="100" border="1" negativeBarBorderColorSameAsPositive="0">
              <x14:cfvo type="autoMin"/>
              <x14:cfvo type="autoMax"/>
              <x14:borderColor rgb="FF63C384"/>
              <x14:negativeFillColor rgb="FFFF0000"/>
              <x14:negativeBorderColor rgb="FFFF0000"/>
              <x14:axisColor rgb="FF000000"/>
            </x14:dataBar>
          </x14:cfRule>
          <xm:sqref>L1:L1048576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S125"/>
  <sheetViews>
    <sheetView zoomScale="85" zoomScaleNormal="85" workbookViewId="0">
      <pane xSplit="6" ySplit="2" topLeftCell="J118" activePane="bottomRight" state="frozen"/>
      <selection pane="bottomRight" activeCell="E123" sqref="E123"/>
      <selection pane="bottomLeft"/>
      <selection pane="topRight"/>
    </sheetView>
  </sheetViews>
  <sheetFormatPr defaultColWidth="8.5703125" defaultRowHeight="40.5" customHeight="1" outlineLevelCol="1"/>
  <cols>
    <col min="1" max="1" width="7.7109375" style="32" customWidth="1"/>
    <col min="2" max="2" width="23.7109375" style="32" customWidth="1"/>
    <col min="3" max="3" width="17.28515625" style="32" customWidth="1"/>
    <col min="4" max="4" width="7.7109375" style="33" customWidth="1"/>
    <col min="5" max="5" width="28.42578125" style="2" customWidth="1"/>
    <col min="6" max="6" width="30.5703125" customWidth="1"/>
    <col min="7" max="7" width="11.5703125" customWidth="1"/>
    <col min="8" max="8" width="10.7109375" customWidth="1"/>
    <col min="9" max="10" width="10" style="2" customWidth="1"/>
    <col min="11" max="11" width="10" customWidth="1"/>
    <col min="12" max="15" width="13.42578125" style="2" customWidth="1"/>
    <col min="16" max="16" width="12.5703125" style="2" customWidth="1"/>
    <col min="17" max="17" width="12.42578125" style="2" hidden="1" customWidth="1" outlineLevel="1"/>
    <col min="18" max="18" width="45.5703125" style="2" hidden="1" customWidth="1" outlineLevel="1"/>
    <col min="19" max="19" width="16.42578125" style="2" hidden="1" customWidth="1" outlineLevel="1"/>
    <col min="20" max="20" width="13.28515625" style="2" customWidth="1" collapsed="1"/>
    <col min="21" max="21" width="13.28515625" style="2" customWidth="1"/>
    <col min="22" max="22" width="16.28515625" style="40" customWidth="1"/>
    <col min="23" max="23" width="13.42578125" style="1" hidden="1" customWidth="1" outlineLevel="1"/>
    <col min="24" max="25" width="15.42578125" style="2" hidden="1" customWidth="1" outlineLevel="1"/>
    <col min="26" max="26" width="13.42578125" style="2" customWidth="1" collapsed="1"/>
    <col min="27" max="27" width="14.42578125" style="40" customWidth="1"/>
    <col min="28" max="28" width="13.85546875" style="40" customWidth="1"/>
    <col min="29" max="29" width="13" style="40" customWidth="1"/>
    <col min="30" max="30" width="9.7109375" style="2" customWidth="1" outlineLevel="1"/>
    <col min="31" max="31" width="10.28515625" style="17" customWidth="1" outlineLevel="1"/>
    <col min="32" max="32" width="10.42578125" style="2" customWidth="1" outlineLevel="1"/>
    <col min="33" max="33" width="10.28515625" style="17" customWidth="1" outlineLevel="1"/>
    <col min="34" max="34" width="10.28515625" style="13" customWidth="1" outlineLevel="1"/>
    <col min="35" max="35" width="10" style="13" customWidth="1" outlineLevel="1"/>
    <col min="36" max="36" width="10.7109375" style="13" customWidth="1" outlineLevel="1"/>
    <col min="37" max="39" width="8.7109375" style="13" customWidth="1" outlineLevel="1"/>
    <col min="40" max="40" width="11.28515625" style="13" customWidth="1"/>
    <col min="41" max="41" width="10.42578125" style="13" customWidth="1"/>
    <col min="42" max="42" width="11.28515625" style="13" customWidth="1"/>
    <col min="43" max="44" width="12" style="33" customWidth="1"/>
    <col min="45" max="45" width="12" style="173" customWidth="1"/>
    <col min="46" max="46" width="12" style="2" hidden="1" customWidth="1"/>
    <col min="47" max="47" width="13.5703125" style="2" hidden="1" customWidth="1"/>
    <col min="48" max="51" width="10.7109375" style="2" hidden="1" customWidth="1"/>
    <col min="52" max="52" width="13.28515625" style="150" hidden="1" customWidth="1"/>
    <col min="53" max="54" width="15" style="150" hidden="1" customWidth="1"/>
    <col min="55" max="55" width="11" style="150" hidden="1" customWidth="1"/>
    <col min="56" max="56" width="15.5703125" style="150" hidden="1" customWidth="1"/>
    <col min="57" max="57" width="17.42578125" style="173" hidden="1" customWidth="1"/>
    <col min="58" max="58" width="16.42578125" style="13" hidden="1" customWidth="1"/>
    <col min="59" max="59" width="10" style="13" hidden="1" customWidth="1"/>
    <col min="60" max="61" width="11.28515625" style="13" hidden="1" customWidth="1"/>
    <col min="62" max="62" width="8.5703125" style="65" hidden="1" customWidth="1"/>
    <col min="63" max="63" width="19.5703125" style="65" customWidth="1"/>
    <col min="64" max="64" width="18.5703125" style="2" customWidth="1"/>
    <col min="65" max="65" width="15.42578125" style="1" customWidth="1"/>
    <col min="66" max="67" width="10.28515625" style="1" customWidth="1"/>
    <col min="68" max="68" width="34.5703125" style="1" customWidth="1"/>
    <col min="69" max="72" width="10.5703125" style="1" customWidth="1"/>
    <col min="73" max="16384" width="8.5703125" style="1"/>
  </cols>
  <sheetData>
    <row r="1" spans="1:71" s="3" customFormat="1" ht="114.6" customHeight="1">
      <c r="A1" s="30" t="s">
        <v>0</v>
      </c>
      <c r="B1" s="30" t="s">
        <v>153</v>
      </c>
      <c r="C1" s="31" t="s">
        <v>2</v>
      </c>
      <c r="D1" s="31" t="s">
        <v>154</v>
      </c>
      <c r="E1" s="4" t="s">
        <v>3</v>
      </c>
      <c r="F1" s="4" t="s">
        <v>155</v>
      </c>
      <c r="G1" s="4" t="s">
        <v>1</v>
      </c>
      <c r="H1" s="4" t="s">
        <v>156</v>
      </c>
      <c r="I1" s="4" t="s">
        <v>157</v>
      </c>
      <c r="J1" s="4" t="s">
        <v>158</v>
      </c>
      <c r="K1" s="4" t="s">
        <v>159</v>
      </c>
      <c r="L1" s="4" t="s">
        <v>160</v>
      </c>
      <c r="M1" s="4" t="s">
        <v>161</v>
      </c>
      <c r="N1" s="4" t="s">
        <v>162</v>
      </c>
      <c r="O1" s="4" t="s">
        <v>163</v>
      </c>
      <c r="P1" s="4" t="s">
        <v>164</v>
      </c>
      <c r="Q1" s="4" t="s">
        <v>165</v>
      </c>
      <c r="R1" s="4" t="s">
        <v>166</v>
      </c>
      <c r="S1" s="4" t="s">
        <v>167</v>
      </c>
      <c r="T1" s="4" t="s">
        <v>168</v>
      </c>
      <c r="U1" s="4" t="s">
        <v>169</v>
      </c>
      <c r="V1" s="39" t="s">
        <v>170</v>
      </c>
      <c r="W1" s="4" t="s">
        <v>171</v>
      </c>
      <c r="X1" s="16" t="s">
        <v>172</v>
      </c>
      <c r="Y1" s="16" t="s">
        <v>173</v>
      </c>
      <c r="Z1" s="4" t="s">
        <v>174</v>
      </c>
      <c r="AA1" s="39" t="s">
        <v>175</v>
      </c>
      <c r="AB1" s="39" t="s">
        <v>176</v>
      </c>
      <c r="AC1" s="39" t="s">
        <v>177</v>
      </c>
      <c r="AD1" s="10" t="s">
        <v>178</v>
      </c>
      <c r="AE1" s="10" t="s">
        <v>179</v>
      </c>
      <c r="AF1" s="10" t="s">
        <v>180</v>
      </c>
      <c r="AG1" s="10" t="s">
        <v>181</v>
      </c>
      <c r="AH1" s="10" t="s">
        <v>182</v>
      </c>
      <c r="AI1" s="10" t="s">
        <v>183</v>
      </c>
      <c r="AJ1" s="10" t="s">
        <v>184</v>
      </c>
      <c r="AK1" s="10" t="s">
        <v>185</v>
      </c>
      <c r="AL1" s="10" t="s">
        <v>186</v>
      </c>
      <c r="AM1" s="10" t="s">
        <v>187</v>
      </c>
      <c r="AN1" s="201" t="s">
        <v>188</v>
      </c>
      <c r="AO1" s="201" t="s">
        <v>189</v>
      </c>
      <c r="AP1" s="54" t="s">
        <v>190</v>
      </c>
      <c r="AQ1" s="33" t="s">
        <v>191</v>
      </c>
      <c r="AR1" s="33" t="s">
        <v>192</v>
      </c>
      <c r="AS1" s="173" t="s">
        <v>193</v>
      </c>
      <c r="AT1" s="180" t="s">
        <v>194</v>
      </c>
      <c r="AU1" s="180" t="s">
        <v>195</v>
      </c>
      <c r="AV1" s="180" t="s">
        <v>196</v>
      </c>
      <c r="AW1" s="180" t="s">
        <v>197</v>
      </c>
      <c r="AX1" s="180" t="s">
        <v>198</v>
      </c>
      <c r="AY1" s="181" t="s">
        <v>199</v>
      </c>
      <c r="AZ1" s="182" t="s">
        <v>200</v>
      </c>
      <c r="BA1" s="182" t="s">
        <v>201</v>
      </c>
      <c r="BB1" s="182" t="s">
        <v>202</v>
      </c>
      <c r="BC1" s="182" t="s">
        <v>203</v>
      </c>
      <c r="BD1" s="182" t="s">
        <v>204</v>
      </c>
      <c r="BE1" s="183" t="s">
        <v>205</v>
      </c>
      <c r="BF1" s="4" t="s">
        <v>206</v>
      </c>
      <c r="BG1" s="183" t="s">
        <v>207</v>
      </c>
      <c r="BH1" s="4" t="s">
        <v>208</v>
      </c>
      <c r="BI1" s="183" t="s">
        <v>209</v>
      </c>
      <c r="BJ1" s="63" t="s">
        <v>210</v>
      </c>
      <c r="BK1" s="183" t="s">
        <v>211</v>
      </c>
      <c r="BL1" s="4" t="s">
        <v>212</v>
      </c>
      <c r="BM1" s="4"/>
      <c r="BN1" s="4"/>
      <c r="BO1" s="4"/>
      <c r="BP1" s="4"/>
    </row>
    <row r="2" spans="1:71" ht="45.75" customHeight="1">
      <c r="A2" s="32">
        <f>INDEX('Implementation Plan V2 Sep25'!A:A,MATCH(E2,'Implementation Plan V2 Sep25'!F:F,0))</f>
        <v>1</v>
      </c>
      <c r="B2" s="33" t="str">
        <f>INDEX('Implementation Plan V2 Sep25'!C:C,MATCH(E2,'Implementation Plan V2 Sep25'!F:F,0))</f>
        <v>Output 1.1 WRP governance, management and financing mechanisms established, mandated and equipped to coordinate a Pacific-led, integrated, and sustainable programme</v>
      </c>
      <c r="C2" s="33" t="str">
        <f>INDEX('Implementation Plan V2 Sep25'!E:E,MATCH(E2,'Implementation Plan V2 Sep25'!F:F,0))</f>
        <v>1.1.2</v>
      </c>
      <c r="D2" s="33">
        <f>INDEX('Implementation Plan V2 Sep25'!D:D,MATCH(E2,'Implementation Plan V2 Sep25'!F:F,0))</f>
        <v>12</v>
      </c>
      <c r="E2" s="60" t="s">
        <v>19</v>
      </c>
      <c r="F2" s="2" t="s">
        <v>213</v>
      </c>
      <c r="G2" s="2">
        <f>Projects[[#This Row],[Activity Ref]]</f>
        <v>12</v>
      </c>
      <c r="H2" s="45"/>
      <c r="J2" s="2" t="str">
        <f>IF(OR(ISBLANK(Projects[[#This Row],[Task]]),Projects[[#This Row],[Task]]=0),"",CONCATENATE(Projects[[#This Row],[Phase]],Projects[[#This Row],[Task]]))</f>
        <v/>
      </c>
      <c r="K2" s="2" t="s">
        <v>214</v>
      </c>
      <c r="L2" s="2" t="s">
        <v>215</v>
      </c>
      <c r="S2" s="13"/>
      <c r="T2" s="2" t="s">
        <v>216</v>
      </c>
      <c r="U2" s="2" t="s">
        <v>217</v>
      </c>
      <c r="V2" s="40">
        <f t="shared" ref="V2:V48" si="0">SUM(X2,AA2)</f>
        <v>1008186</v>
      </c>
      <c r="W2" s="15"/>
      <c r="X2" s="17"/>
      <c r="Y2" s="17"/>
      <c r="Z2" s="2" t="s">
        <v>218</v>
      </c>
      <c r="AA2" s="40">
        <f t="shared" ref="AA2:AA33" si="1">SUM(AD2:AM2)</f>
        <v>1008186</v>
      </c>
      <c r="AB2" s="40" t="str">
        <f>IFERROR(INDEX(#REF!,MATCH(#REF!,#REF!,0)),"")</f>
        <v/>
      </c>
      <c r="AC2" s="40" t="str">
        <f>IFERROR(INDEX(#REF!,MATCH(#REF!,#REF!,0)),"")</f>
        <v/>
      </c>
      <c r="AD2" s="237">
        <f>218244.72+475986.28</f>
        <v>694231</v>
      </c>
      <c r="AE2" s="237">
        <f>152523+41116</f>
        <v>193639</v>
      </c>
      <c r="AF2" s="237">
        <f>(478370+529816-Projects[[#This Row],[2024]]-Projects[[#This Row],[2025]])</f>
        <v>120316</v>
      </c>
      <c r="AG2" s="237"/>
      <c r="AN2" s="13">
        <f>218244.72+475986.28</f>
        <v>694231</v>
      </c>
      <c r="AO2" s="13">
        <f>70690.4+41115.62</f>
        <v>111806.01999999999</v>
      </c>
      <c r="AP2" s="237">
        <f>152523+41116</f>
        <v>193639</v>
      </c>
      <c r="AQ2" s="40">
        <f>SUM(Projects[[#This Row],[2024 Actual]],Projects[[#This Row],[2025 Actual ]])</f>
        <v>887870</v>
      </c>
      <c r="AS2" s="173">
        <f>IF(Projects[[#This Row],[WRP Funding Allocated USD]]=0,"-",Projects[[#This Row],[Actual Spend USD]]/Projects[[#This Row],[WRP Funding Allocated USD]])</f>
        <v>0.88066090979243905</v>
      </c>
      <c r="AT2" s="28">
        <v>1</v>
      </c>
      <c r="AU2" s="28">
        <v>1</v>
      </c>
      <c r="AV2" s="28" t="s">
        <v>219</v>
      </c>
      <c r="AW2" s="28">
        <v>5</v>
      </c>
      <c r="AX2" s="28">
        <v>2</v>
      </c>
      <c r="AY2" s="161">
        <f>Projects[[#This Row],[No. Action Completed]]/Projects[[#This Row],[No. Actions Identified]]</f>
        <v>0.4</v>
      </c>
      <c r="AZ2" s="161">
        <v>0.3</v>
      </c>
      <c r="BA2" s="161">
        <v>0.5</v>
      </c>
      <c r="BB2" s="161">
        <v>1</v>
      </c>
      <c r="BC2" s="178" t="s">
        <v>219</v>
      </c>
      <c r="BD2" s="178">
        <v>1</v>
      </c>
      <c r="BE2" s="17" t="s">
        <v>220</v>
      </c>
      <c r="BF2" s="17" t="s">
        <v>220</v>
      </c>
      <c r="BG2" s="38">
        <v>0.64</v>
      </c>
      <c r="BH2" s="38">
        <v>0.64</v>
      </c>
      <c r="BI2" s="64" t="s">
        <v>221</v>
      </c>
      <c r="BJ2" s="64" t="s">
        <v>221</v>
      </c>
      <c r="BK2" s="151" t="s">
        <v>222</v>
      </c>
      <c r="BL2" s="151" t="s">
        <v>119</v>
      </c>
      <c r="BM2" s="13"/>
      <c r="BN2" s="13"/>
      <c r="BO2" s="13"/>
      <c r="BP2" s="13"/>
      <c r="BQ2" s="3"/>
      <c r="BR2" s="3"/>
      <c r="BS2" s="3"/>
    </row>
    <row r="3" spans="1:71" ht="77.099999999999994" customHeight="1">
      <c r="A3" s="32">
        <f>INDEX('Implementation Plan V2 Sep25'!A:A,MATCH(E3,'Implementation Plan V2 Sep25'!F:F,0))</f>
        <v>1</v>
      </c>
      <c r="B3" s="33" t="str">
        <f>INDEX('Implementation Plan V2 Sep25'!C:C,MATCH(E3,'Implementation Plan V2 Sep25'!F:F,0))</f>
        <v>Output 1.1 WRP governance, management and financing mechanisms established, mandated and equipped to coordinate a Pacific-led, integrated, and sustainable programme</v>
      </c>
      <c r="C3" s="33" t="str">
        <f>INDEX('Implementation Plan V2 Sep25'!E:E,MATCH(E3,'Implementation Plan V2 Sep25'!F:F,0))</f>
        <v>1.1.2</v>
      </c>
      <c r="D3" s="33">
        <f>INDEX('Implementation Plan V2 Sep25'!D:D,MATCH(E3,'Implementation Plan V2 Sep25'!F:F,0))</f>
        <v>12</v>
      </c>
      <c r="E3" s="60" t="s">
        <v>19</v>
      </c>
      <c r="F3" s="2" t="s">
        <v>223</v>
      </c>
      <c r="G3" s="2">
        <f>Projects[[#This Row],[Activity Ref]]</f>
        <v>12</v>
      </c>
      <c r="H3" s="2"/>
      <c r="J3" s="2" t="str">
        <f>IF(OR(ISBLANK(Projects[[#This Row],[Task]]),Projects[[#This Row],[Task]]=0),"",CONCATENATE(Projects[[#This Row],[Phase]],Projects[[#This Row],[Task]]))</f>
        <v/>
      </c>
      <c r="K3" s="2" t="s">
        <v>224</v>
      </c>
      <c r="L3" s="2" t="s">
        <v>225</v>
      </c>
      <c r="S3" s="13"/>
      <c r="T3" s="2" t="s">
        <v>216</v>
      </c>
      <c r="U3" s="2" t="s">
        <v>217</v>
      </c>
      <c r="V3" s="40">
        <f t="shared" si="0"/>
        <v>464653</v>
      </c>
      <c r="W3" s="2"/>
      <c r="X3" s="17"/>
      <c r="Y3" s="17"/>
      <c r="Z3" s="2" t="s">
        <v>218</v>
      </c>
      <c r="AA3" s="40">
        <f t="shared" si="1"/>
        <v>464653</v>
      </c>
      <c r="AB3" s="40" t="str">
        <f>IFERROR(INDEX(#REF!,MATCH(#REF!,#REF!,0)),"")</f>
        <v/>
      </c>
      <c r="AC3" s="40" t="str">
        <f>IFERROR(INDEX(#REF!,MATCH(#REF!,#REF!,0)),"")</f>
        <v/>
      </c>
      <c r="AD3" s="237">
        <v>160871</v>
      </c>
      <c r="AE3" s="237">
        <v>260376</v>
      </c>
      <c r="AF3" s="237">
        <v>30000</v>
      </c>
      <c r="AG3" s="237">
        <v>13406</v>
      </c>
      <c r="AN3" s="13">
        <v>160871</v>
      </c>
      <c r="AO3" s="13">
        <f>100782+62350</f>
        <v>163132</v>
      </c>
      <c r="AP3" s="237">
        <f>159329+100782</f>
        <v>260111</v>
      </c>
      <c r="AQ3" s="40">
        <f>SUM(Projects[[#This Row],[2024 Actual]],Projects[[#This Row],[2025 Actual ]])</f>
        <v>420982</v>
      </c>
      <c r="AR3" s="40"/>
      <c r="AS3" s="173">
        <f>IF(Projects[[#This Row],[WRP Funding Allocated USD]]=0,"-",Projects[[#This Row],[Actual Spend USD]]/Projects[[#This Row],[WRP Funding Allocated USD]])</f>
        <v>0.90601373498072757</v>
      </c>
      <c r="AT3" s="28">
        <v>1</v>
      </c>
      <c r="AU3" s="28">
        <v>1</v>
      </c>
      <c r="AV3" s="28" t="s">
        <v>219</v>
      </c>
      <c r="AW3" s="28">
        <v>10</v>
      </c>
      <c r="AX3" s="28"/>
      <c r="AY3" s="161">
        <f>Projects[[#This Row],[No. Action Completed]]/Projects[[#This Row],[No. Actions Identified]]</f>
        <v>0</v>
      </c>
      <c r="AZ3" s="161"/>
      <c r="BA3" s="161"/>
      <c r="BB3" s="161"/>
      <c r="BC3" s="178" t="s">
        <v>219</v>
      </c>
      <c r="BD3" s="178">
        <v>1</v>
      </c>
      <c r="BE3" s="17" t="s">
        <v>220</v>
      </c>
      <c r="BF3" s="17" t="s">
        <v>220</v>
      </c>
      <c r="BG3" s="38">
        <f>(Projects[[#This Row],[2024 Actual]]+Projects[[#This Row],[2025 Actual ]])/Projects[[#This Row],[WRP Funding Allocated USD]]</f>
        <v>0.90601373498072757</v>
      </c>
      <c r="BH3" s="38">
        <f>(Projects[[#This Row],[2024 Actual]]+Projects[[#This Row],[2025 Actual ]])/Projects[[#This Row],[WRP Funding Allocated USD]]</f>
        <v>0.90601373498072757</v>
      </c>
      <c r="BI3" s="64" t="s">
        <v>221</v>
      </c>
      <c r="BJ3" s="64" t="s">
        <v>221</v>
      </c>
      <c r="BK3" s="151" t="s">
        <v>226</v>
      </c>
      <c r="BL3" s="151"/>
      <c r="BM3" s="13"/>
      <c r="BN3" s="13"/>
      <c r="BO3" s="13"/>
      <c r="BP3" s="13"/>
      <c r="BQ3" s="3"/>
      <c r="BR3" s="3"/>
      <c r="BS3" s="3"/>
    </row>
    <row r="4" spans="1:71" ht="47.25" customHeight="1">
      <c r="A4" s="32">
        <f>INDEX('Implementation Plan V2 Sep25'!A:A,MATCH(E4,'Implementation Plan V2 Sep25'!F:F,0))</f>
        <v>1</v>
      </c>
      <c r="B4" s="33" t="str">
        <f>INDEX('Implementation Plan V2 Sep25'!C:C,MATCH(E4,'Implementation Plan V2 Sep25'!F:F,0))</f>
        <v>Output 1.1 WRP governance, management and financing mechanisms established, mandated and equipped to coordinate a Pacific-led, integrated, and sustainable programme</v>
      </c>
      <c r="C4" s="33" t="str">
        <f>INDEX('Implementation Plan V2 Sep25'!E:E,MATCH(E4,'Implementation Plan V2 Sep25'!F:F,0))</f>
        <v>1.1.1</v>
      </c>
      <c r="D4" s="33">
        <f>INDEX('Implementation Plan V2 Sep25'!D:D,MATCH(E4,'Implementation Plan V2 Sep25'!F:F,0))</f>
        <v>11</v>
      </c>
      <c r="E4" s="2" t="s">
        <v>16</v>
      </c>
      <c r="F4" s="2" t="s">
        <v>227</v>
      </c>
      <c r="G4" s="2">
        <f>Projects[[#This Row],[Activity Ref]]</f>
        <v>11</v>
      </c>
      <c r="H4" s="45" t="s">
        <v>228</v>
      </c>
      <c r="J4" s="2" t="str">
        <f>IF(OR(ISBLANK(Projects[[#This Row],[Task]]),Projects[[#This Row],[Task]]=0),"",CONCATENATE(Projects[[#This Row],[Phase]],Projects[[#This Row],[Task]]))</f>
        <v>1105</v>
      </c>
      <c r="K4" s="2" t="s">
        <v>224</v>
      </c>
      <c r="L4" s="2" t="s">
        <v>229</v>
      </c>
      <c r="O4" s="37" t="s">
        <v>230</v>
      </c>
      <c r="P4" s="37"/>
      <c r="Q4" s="2">
        <v>2025</v>
      </c>
      <c r="R4" s="2" t="s">
        <v>231</v>
      </c>
      <c r="S4" s="13"/>
      <c r="T4" s="2" t="s">
        <v>216</v>
      </c>
      <c r="U4" s="2" t="s">
        <v>232</v>
      </c>
      <c r="V4" s="40">
        <f t="shared" si="0"/>
        <v>54069.565217391311</v>
      </c>
      <c r="W4" s="15"/>
      <c r="X4" s="17"/>
      <c r="Y4" s="17"/>
      <c r="Z4" s="2" t="s">
        <v>233</v>
      </c>
      <c r="AA4" s="40">
        <f t="shared" si="1"/>
        <v>54069.565217391311</v>
      </c>
      <c r="AB4" s="40" t="str">
        <f>IFERROR(INDEX(#REF!,MATCH(#REF!,#REF!,0)),"")</f>
        <v/>
      </c>
      <c r="AC4" s="40" t="str">
        <f>IFERROR(INDEX(#REF!,MATCH(#REF!,#REF!,0)),"")</f>
        <v/>
      </c>
      <c r="AD4" s="13"/>
      <c r="AE4" s="20"/>
      <c r="AF4" s="195">
        <f>(31090+31090)/1.15</f>
        <v>54069.565217391311</v>
      </c>
      <c r="AG4" s="196"/>
      <c r="AH4" s="196"/>
      <c r="AI4" s="196"/>
      <c r="AQ4" s="33">
        <f>SUM(Projects[[#This Row],[2024 Actual]],Projects[[#This Row],[2025 Actual ]])</f>
        <v>0</v>
      </c>
      <c r="AS4" s="173">
        <f>IF(Projects[[#This Row],[WRP Funding Allocated USD]]=0,"-",Projects[[#This Row],[Actual Spend USD]]/Projects[[#This Row],[WRP Funding Allocated USD]])</f>
        <v>0</v>
      </c>
      <c r="AT4" s="28">
        <v>1</v>
      </c>
      <c r="AU4" s="28"/>
      <c r="AV4" s="28" t="s">
        <v>234</v>
      </c>
      <c r="AW4" s="28"/>
      <c r="AX4" s="28"/>
      <c r="AY4" s="161" t="e">
        <f>Projects[[#This Row],[No. Action Completed]]/Projects[[#This Row],[No. Actions Identified]]</f>
        <v>#DIV/0!</v>
      </c>
      <c r="AZ4" s="161"/>
      <c r="BA4" s="161"/>
      <c r="BB4" s="161"/>
      <c r="BC4" s="178"/>
      <c r="BD4" s="178"/>
      <c r="BE4" s="17" t="s">
        <v>235</v>
      </c>
      <c r="BF4" s="17" t="s">
        <v>235</v>
      </c>
      <c r="BG4" s="38">
        <v>0.1</v>
      </c>
      <c r="BH4" s="38">
        <v>0.1</v>
      </c>
      <c r="BI4" s="64" t="s">
        <v>221</v>
      </c>
      <c r="BJ4" s="64" t="s">
        <v>221</v>
      </c>
      <c r="BK4" s="151" t="s">
        <v>236</v>
      </c>
      <c r="BL4" s="151" t="s">
        <v>119</v>
      </c>
      <c r="BM4" s="13"/>
      <c r="BN4" s="13"/>
      <c r="BO4" s="13"/>
      <c r="BP4" s="13"/>
      <c r="BQ4" s="3"/>
      <c r="BR4" s="3"/>
      <c r="BS4" s="3"/>
    </row>
    <row r="5" spans="1:71" ht="67.5" customHeight="1">
      <c r="A5" s="32">
        <f>INDEX('Implementation Plan V2 Sep25'!A:A,MATCH(E5,'Implementation Plan V2 Sep25'!F:F,0))</f>
        <v>4</v>
      </c>
      <c r="B5" s="33" t="str">
        <f>INDEX('Implementation Plan V2 Sep25'!C:C,MATCH(E5,'Implementation Plan V2 Sep25'!F:F,0))</f>
        <v>Output 4.1 An integrated Pacific forecasting platform established and operating sustainably to global standards</v>
      </c>
      <c r="C5" s="33" t="str">
        <f>INDEX('Implementation Plan V2 Sep25'!E:E,MATCH(E5,'Implementation Plan V2 Sep25'!F:F,0))</f>
        <v>4.1.1</v>
      </c>
      <c r="D5" s="33">
        <f>INDEX('Implementation Plan V2 Sep25'!D:D,MATCH(E5,'Implementation Plan V2 Sep25'!F:F,0))</f>
        <v>41</v>
      </c>
      <c r="E5" s="2" t="s">
        <v>100</v>
      </c>
      <c r="F5" s="2" t="s">
        <v>237</v>
      </c>
      <c r="G5" s="2">
        <f>Projects[[#This Row],[Activity Ref]]</f>
        <v>41</v>
      </c>
      <c r="H5" s="45" t="s">
        <v>238</v>
      </c>
      <c r="J5" s="2" t="str">
        <f>IF(OR(ISBLANK(Projects[[#This Row],[Task]]),Projects[[#This Row],[Task]]=0),"",CONCATENATE(Projects[[#This Row],[Phase]],Projects[[#This Row],[Task]]))</f>
        <v>4107</v>
      </c>
      <c r="K5" s="2" t="s">
        <v>224</v>
      </c>
      <c r="L5" s="2" t="s">
        <v>229</v>
      </c>
      <c r="O5" s="2" t="s">
        <v>239</v>
      </c>
      <c r="S5" s="13"/>
      <c r="T5" s="2" t="s">
        <v>216</v>
      </c>
      <c r="U5" s="2" t="s">
        <v>232</v>
      </c>
      <c r="V5" s="40">
        <f t="shared" si="0"/>
        <v>55234.94</v>
      </c>
      <c r="W5" s="15"/>
      <c r="X5" s="17"/>
      <c r="Y5" s="17"/>
      <c r="Z5" s="2" t="s">
        <v>240</v>
      </c>
      <c r="AA5" s="40">
        <f t="shared" si="1"/>
        <v>55234.94</v>
      </c>
      <c r="AB5" s="40" t="str">
        <f>IFERROR(INDEX(#REF!,MATCH(#REF!,#REF!,0)),"")</f>
        <v/>
      </c>
      <c r="AC5" s="40" t="str">
        <f>IFERROR(INDEX(#REF!,MATCH(#REF!,#REF!,0)),"")</f>
        <v/>
      </c>
      <c r="AD5" s="19">
        <v>55234.94</v>
      </c>
      <c r="AE5" s="13"/>
      <c r="AF5" s="196"/>
      <c r="AG5" s="196"/>
      <c r="AH5" s="196"/>
      <c r="AI5" s="196"/>
      <c r="AN5" s="59">
        <v>55234.94</v>
      </c>
      <c r="AQ5" s="33">
        <f>SUM(Projects[[#This Row],[2024 Actual]],Projects[[#This Row],[2025 Actual ]])</f>
        <v>55234.94</v>
      </c>
      <c r="AS5" s="173">
        <f>IF(Projects[[#This Row],[WRP Funding Allocated USD]]=0,"-",Projects[[#This Row],[Actual Spend USD]]/Projects[[#This Row],[WRP Funding Allocated USD]])</f>
        <v>1</v>
      </c>
      <c r="AT5" s="28">
        <v>1</v>
      </c>
      <c r="AY5" s="150" t="e">
        <f>Projects[[#This Row],[No. Action Completed]]/Projects[[#This Row],[No. Actions Identified]]</f>
        <v>#DIV/0!</v>
      </c>
      <c r="BC5" s="15"/>
      <c r="BD5" s="15"/>
      <c r="BE5" s="17" t="s">
        <v>241</v>
      </c>
      <c r="BF5" s="17" t="s">
        <v>241</v>
      </c>
      <c r="BG5" s="38">
        <v>1</v>
      </c>
      <c r="BH5" s="38">
        <v>1</v>
      </c>
      <c r="BI5" s="64" t="s">
        <v>221</v>
      </c>
      <c r="BJ5" s="64" t="s">
        <v>221</v>
      </c>
      <c r="BK5" s="151" t="s">
        <v>242</v>
      </c>
      <c r="BL5" s="151" t="s">
        <v>243</v>
      </c>
      <c r="BM5" s="13"/>
      <c r="BN5" s="13"/>
      <c r="BO5" s="13"/>
      <c r="BP5" s="13"/>
    </row>
    <row r="6" spans="1:71" ht="51" customHeight="1">
      <c r="A6" s="32">
        <f>INDEX('Implementation Plan V2 Sep25'!A:A,MATCH(E6,'Implementation Plan V2 Sep25'!F:F,0))</f>
        <v>1</v>
      </c>
      <c r="B6" s="33" t="str">
        <f>INDEX('Implementation Plan V2 Sep25'!C:C,MATCH(E6,'Implementation Plan V2 Sep25'!F:F,0))</f>
        <v>Output 1.3 Transformative GEDSI strategy adopted and integrated across governance, management and partner programming</v>
      </c>
      <c r="C6" s="33" t="str">
        <f>INDEX('Implementation Plan V2 Sep25'!E:E,MATCH(E6,'Implementation Plan V2 Sep25'!F:F,0))</f>
        <v>1.3.1</v>
      </c>
      <c r="D6" s="33">
        <f>INDEX('Implementation Plan V2 Sep25'!D:D,MATCH(E6,'Implementation Plan V2 Sep25'!F:F,0))</f>
        <v>81</v>
      </c>
      <c r="E6" s="2" t="s">
        <v>37</v>
      </c>
      <c r="F6" s="2" t="s">
        <v>244</v>
      </c>
      <c r="G6" s="2">
        <f>Projects[[#This Row],[Activity Ref]]</f>
        <v>81</v>
      </c>
      <c r="H6" s="45" t="s">
        <v>245</v>
      </c>
      <c r="J6" s="2" t="str">
        <f>IF(OR(ISBLANK(Projects[[#This Row],[Task]]),Projects[[#This Row],[Task]]=0),"",CONCATENATE(Projects[[#This Row],[Phase]],Projects[[#This Row],[Task]]))</f>
        <v>8101</v>
      </c>
      <c r="K6" s="2" t="s">
        <v>224</v>
      </c>
      <c r="L6" s="2" t="s">
        <v>229</v>
      </c>
      <c r="O6" s="2" t="s">
        <v>230</v>
      </c>
      <c r="S6" s="13"/>
      <c r="T6" s="2" t="s">
        <v>216</v>
      </c>
      <c r="U6" s="2" t="s">
        <v>232</v>
      </c>
      <c r="V6" s="40">
        <f t="shared" si="0"/>
        <v>190344.51</v>
      </c>
      <c r="W6" s="15"/>
      <c r="X6" s="18"/>
      <c r="Y6" s="18"/>
      <c r="Z6" s="2" t="s">
        <v>240</v>
      </c>
      <c r="AA6" s="40">
        <f t="shared" si="1"/>
        <v>190344.51</v>
      </c>
      <c r="AB6" s="40" t="str">
        <f>IFERROR(INDEX(#REF!,MATCH(#REF!,#REF!,0)),"")</f>
        <v/>
      </c>
      <c r="AC6" s="40" t="e">
        <f>#REF!</f>
        <v>#REF!</v>
      </c>
      <c r="AD6" s="13"/>
      <c r="AE6" s="19">
        <v>101815.47</v>
      </c>
      <c r="AF6" s="195">
        <v>88529.04</v>
      </c>
      <c r="AG6" s="196"/>
      <c r="AH6" s="196"/>
      <c r="AI6" s="196"/>
      <c r="AO6" s="13">
        <v>75651.12</v>
      </c>
      <c r="AP6" s="19">
        <v>101815.47</v>
      </c>
      <c r="AQ6" s="33">
        <f>SUM(Projects[[#This Row],[2024 Actual]],Projects[[#This Row],[2025 Actual ]])</f>
        <v>101815.47</v>
      </c>
      <c r="AS6" s="173">
        <f>IF(Projects[[#This Row],[WRP Funding Allocated USD]]=0,"-",Projects[[#This Row],[Actual Spend USD]]/Projects[[#This Row],[WRP Funding Allocated USD]])</f>
        <v>0.53490100660113604</v>
      </c>
      <c r="AT6" s="28">
        <v>1</v>
      </c>
      <c r="AY6" s="150" t="e">
        <f>Projects[[#This Row],[No. Action Completed]]/Projects[[#This Row],[No. Actions Identified]]</f>
        <v>#DIV/0!</v>
      </c>
      <c r="BC6" s="15"/>
      <c r="BD6" s="15"/>
      <c r="BE6" s="17" t="s">
        <v>220</v>
      </c>
      <c r="BF6" s="17" t="s">
        <v>220</v>
      </c>
      <c r="BG6" s="38">
        <v>0.75</v>
      </c>
      <c r="BH6" s="38">
        <v>0.75</v>
      </c>
      <c r="BI6" s="64" t="s">
        <v>221</v>
      </c>
      <c r="BJ6" s="64" t="s">
        <v>221</v>
      </c>
      <c r="BK6" s="151" t="s">
        <v>246</v>
      </c>
      <c r="BL6" s="151" t="s">
        <v>247</v>
      </c>
      <c r="BM6" s="13"/>
      <c r="BN6" s="13"/>
      <c r="BO6" s="13"/>
      <c r="BP6" s="13"/>
    </row>
    <row r="7" spans="1:71" ht="51" customHeight="1">
      <c r="A7" s="32">
        <f>INDEX('Implementation Plan V2 Sep25'!A:A,MATCH(E7,'Implementation Plan V2 Sep25'!F:F,0))</f>
        <v>1</v>
      </c>
      <c r="B7" s="33" t="str">
        <f>INDEX('Implementation Plan V2 Sep25'!C:C,MATCH(E7,'Implementation Plan V2 Sep25'!F:F,0))</f>
        <v>Output 1.3 Transformative GEDSI strategy adopted and integrated across governance, management and partner programming</v>
      </c>
      <c r="C7" s="33" t="str">
        <f>INDEX('Implementation Plan V2 Sep25'!E:E,MATCH(E7,'Implementation Plan V2 Sep25'!F:F,0))</f>
        <v>1.3.1</v>
      </c>
      <c r="D7" s="33">
        <f>INDEX('Implementation Plan V2 Sep25'!D:D,MATCH(E7,'Implementation Plan V2 Sep25'!F:F,0))</f>
        <v>81</v>
      </c>
      <c r="E7" s="2" t="s">
        <v>37</v>
      </c>
      <c r="F7" s="2" t="s">
        <v>244</v>
      </c>
      <c r="G7" s="2">
        <f>Projects[[#This Row],[Activity Ref]]</f>
        <v>81</v>
      </c>
      <c r="H7" s="2"/>
      <c r="J7" s="2" t="str">
        <f>IF(OR(ISBLANK(Projects[[#This Row],[Task]]),Projects[[#This Row],[Task]]=0),"",CONCATENATE(Projects[[#This Row],[Phase]],Projects[[#This Row],[Task]]))</f>
        <v/>
      </c>
      <c r="K7" s="2" t="s">
        <v>224</v>
      </c>
      <c r="L7" s="2" t="s">
        <v>229</v>
      </c>
      <c r="O7" s="2" t="s">
        <v>230</v>
      </c>
      <c r="S7" s="13">
        <f>SUM(Projects[[#This Row],[2025]])</f>
        <v>0</v>
      </c>
      <c r="T7" s="2" t="s">
        <v>216</v>
      </c>
      <c r="U7" s="2" t="s">
        <v>232</v>
      </c>
      <c r="V7" s="40">
        <f t="shared" si="0"/>
        <v>15000</v>
      </c>
      <c r="W7" s="15"/>
      <c r="X7" s="18"/>
      <c r="Y7" s="18"/>
      <c r="Z7" s="2" t="s">
        <v>248</v>
      </c>
      <c r="AA7" s="40">
        <f t="shared" si="1"/>
        <v>15000</v>
      </c>
      <c r="AB7" s="40" t="str">
        <f>IFERROR(INDEX(#REF!,MATCH(#REF!,#REF!,0)),"")</f>
        <v/>
      </c>
      <c r="AC7" s="40" t="str">
        <f>IFERROR(INDEX(#REF!,MATCH(#REF!,#REF!,0)),"")</f>
        <v/>
      </c>
      <c r="AD7" s="13"/>
      <c r="AE7" s="20"/>
      <c r="AF7" s="195"/>
      <c r="AG7" s="196">
        <v>5000</v>
      </c>
      <c r="AH7" s="196">
        <v>5000</v>
      </c>
      <c r="AI7" s="196">
        <v>5000</v>
      </c>
      <c r="AQ7" s="33">
        <f>SUM(Projects[[#This Row],[2024 Actual]],Projects[[#This Row],[2025 Actual ]])</f>
        <v>0</v>
      </c>
      <c r="AR7" s="40"/>
      <c r="AS7" s="173">
        <f>IF(Projects[[#This Row],[WRP Funding Allocated USD]]=0,"-",Projects[[#This Row],[Actual Spend USD]]/Projects[[#This Row],[WRP Funding Allocated USD]])</f>
        <v>0</v>
      </c>
      <c r="AT7" s="28">
        <v>1</v>
      </c>
      <c r="AY7" s="150" t="e">
        <f>Projects[[#This Row],[No. Action Completed]]/Projects[[#This Row],[No. Actions Identified]]</f>
        <v>#DIV/0!</v>
      </c>
      <c r="BC7" s="15"/>
      <c r="BD7" s="15"/>
      <c r="BE7" s="40" t="s">
        <v>249</v>
      </c>
      <c r="BF7" s="17"/>
      <c r="BG7" s="38">
        <v>0</v>
      </c>
      <c r="BH7" s="38"/>
      <c r="BI7" s="64" t="s">
        <v>119</v>
      </c>
      <c r="BJ7" s="64"/>
      <c r="BK7" s="151" t="s">
        <v>242</v>
      </c>
      <c r="BL7" s="17"/>
      <c r="BM7" s="13"/>
      <c r="BN7" s="13"/>
      <c r="BO7" s="13"/>
      <c r="BP7" s="13"/>
    </row>
    <row r="8" spans="1:71" ht="46.5" customHeight="1">
      <c r="A8" s="32">
        <f>INDEX('Implementation Plan V2 Sep25'!A:A,MATCH(E8,'Implementation Plan V2 Sep25'!F:F,0))</f>
        <v>5</v>
      </c>
      <c r="B8" s="33" t="str">
        <f>INDEX('Implementation Plan V2 Sep25'!C:C,MATCH(E8,'Implementation Plan V2 Sep25'!F:F,0))</f>
        <v>Output 5.1 Pacific capacity and collaborative approaches to deliver locally-relevant, impact-based, inclusive and accessible forecasts and warnings for end users strengthened and sustained</v>
      </c>
      <c r="C8" s="33" t="str">
        <f>INDEX('Implementation Plan V2 Sep25'!E:E,MATCH(E8,'Implementation Plan V2 Sep25'!F:F,0))</f>
        <v>5.1.4</v>
      </c>
      <c r="D8" s="33">
        <f>INDEX('Implementation Plan V2 Sep25'!D:D,MATCH(E8,'Implementation Plan V2 Sep25'!F:F,0))</f>
        <v>54</v>
      </c>
      <c r="E8" s="2" t="s">
        <v>133</v>
      </c>
      <c r="F8" s="2" t="s">
        <v>250</v>
      </c>
      <c r="G8" s="2">
        <f>Projects[[#This Row],[Activity Ref]]</f>
        <v>54</v>
      </c>
      <c r="H8" s="45" t="s">
        <v>245</v>
      </c>
      <c r="J8" s="2" t="str">
        <f>IF(OR(ISBLANK(Projects[[#This Row],[Task]]),Projects[[#This Row],[Task]]=0),"",CONCATENATE(Projects[[#This Row],[Phase]],Projects[[#This Row],[Task]]))</f>
        <v>5401</v>
      </c>
      <c r="K8" s="2" t="s">
        <v>224</v>
      </c>
      <c r="L8" s="7" t="s">
        <v>229</v>
      </c>
      <c r="M8" s="7"/>
      <c r="N8" s="7"/>
      <c r="O8" s="7" t="s">
        <v>251</v>
      </c>
      <c r="P8" s="7"/>
      <c r="Q8" s="2">
        <v>2025</v>
      </c>
      <c r="R8" s="2" t="s">
        <v>252</v>
      </c>
      <c r="S8" s="13"/>
      <c r="T8" s="2" t="s">
        <v>253</v>
      </c>
      <c r="U8" s="2" t="s">
        <v>232</v>
      </c>
      <c r="V8" s="40">
        <f t="shared" si="0"/>
        <v>107587.375</v>
      </c>
      <c r="W8" s="15"/>
      <c r="X8" s="17"/>
      <c r="Y8" s="17"/>
      <c r="Z8" s="2" t="s">
        <v>240</v>
      </c>
      <c r="AA8" s="40">
        <f t="shared" si="1"/>
        <v>107587.375</v>
      </c>
      <c r="AB8" s="40" t="str">
        <f>IFERROR(INDEX(#REF!,MATCH(#REF!,#REF!,0)),"")</f>
        <v/>
      </c>
      <c r="AC8" s="40" t="str">
        <f>IFERROR(INDEX(#REF!,MATCH(#REF!,#REF!,0)),"")</f>
        <v/>
      </c>
      <c r="AD8" s="13"/>
      <c r="AE8" s="13"/>
      <c r="AF8" s="13">
        <v>107587.375</v>
      </c>
      <c r="AG8" s="13"/>
      <c r="AQ8" s="33">
        <f>SUM(Projects[[#This Row],[2024 Actual]],Projects[[#This Row],[2025 Actual ]])</f>
        <v>0</v>
      </c>
      <c r="AS8" s="173">
        <f>IF(Projects[[#This Row],[WRP Funding Allocated USD]]=0,"-",Projects[[#This Row],[Actual Spend USD]]/Projects[[#This Row],[WRP Funding Allocated USD]])</f>
        <v>0</v>
      </c>
      <c r="AT8" s="28">
        <v>1</v>
      </c>
      <c r="AY8" s="150" t="e">
        <f>Projects[[#This Row],[No. Action Completed]]/Projects[[#This Row],[No. Actions Identified]]</f>
        <v>#DIV/0!</v>
      </c>
      <c r="BC8" s="15"/>
      <c r="BD8" s="15"/>
      <c r="BE8" s="17" t="s">
        <v>235</v>
      </c>
      <c r="BF8" s="17" t="s">
        <v>235</v>
      </c>
      <c r="BG8" s="38">
        <v>0.3</v>
      </c>
      <c r="BH8" s="38">
        <v>0.3</v>
      </c>
      <c r="BI8" s="64" t="s">
        <v>254</v>
      </c>
      <c r="BJ8" s="64" t="s">
        <v>254</v>
      </c>
      <c r="BK8" s="17" t="s">
        <v>255</v>
      </c>
      <c r="BL8" s="17" t="s">
        <v>256</v>
      </c>
      <c r="BM8" s="13"/>
      <c r="BN8" s="13"/>
      <c r="BO8" s="13"/>
      <c r="BP8" s="13"/>
    </row>
    <row r="9" spans="1:71" ht="54.75" customHeight="1">
      <c r="A9" s="32">
        <f>INDEX('Implementation Plan V2 Sep25'!A:A,MATCH(E9,'Implementation Plan V2 Sep25'!F:F,0))</f>
        <v>2</v>
      </c>
      <c r="B9" s="33" t="str">
        <f>INDEX('Implementation Plan V2 Sep25'!C:C,MATCH(E9,'Implementation Plan V2 Sep25'!F:F,0))</f>
        <v>OP2.2 Inclusive leadership and technical capability strengthening programmes established and delivering ongoing training to industry standards</v>
      </c>
      <c r="C9" s="33" t="str">
        <f>INDEX('Implementation Plan V2 Sep25'!E:E,MATCH(E9,'Implementation Plan V2 Sep25'!F:F,0))</f>
        <v>2.2.5</v>
      </c>
      <c r="D9" s="33">
        <f>INDEX('Implementation Plan V2 Sep25'!D:D,MATCH(E9,'Implementation Plan V2 Sep25'!F:F,0))</f>
        <v>26</v>
      </c>
      <c r="E9" s="2" t="s">
        <v>55</v>
      </c>
      <c r="F9" s="2" t="s">
        <v>257</v>
      </c>
      <c r="G9" s="2">
        <f>Projects[[#This Row],[Activity Ref]]</f>
        <v>26</v>
      </c>
      <c r="H9" s="45" t="s">
        <v>245</v>
      </c>
      <c r="J9" s="2" t="str">
        <f>IF(OR(ISBLANK(Projects[[#This Row],[Task]]),Projects[[#This Row],[Task]]=0),"",CONCATENATE(Projects[[#This Row],[Phase]],Projects[[#This Row],[Task]]))</f>
        <v>2601</v>
      </c>
      <c r="K9" s="2" t="s">
        <v>224</v>
      </c>
      <c r="L9" s="60" t="s">
        <v>229</v>
      </c>
      <c r="M9" s="60"/>
      <c r="N9" s="60"/>
      <c r="O9" s="60" t="s">
        <v>251</v>
      </c>
      <c r="P9" s="60"/>
      <c r="Q9" s="2">
        <v>2025</v>
      </c>
      <c r="R9" s="2" t="s">
        <v>258</v>
      </c>
      <c r="S9" s="13"/>
      <c r="T9" s="2" t="s">
        <v>216</v>
      </c>
      <c r="U9" s="2" t="s">
        <v>232</v>
      </c>
      <c r="V9" s="40">
        <f t="shared" si="0"/>
        <v>109824.09964</v>
      </c>
      <c r="W9" s="15"/>
      <c r="X9" s="17"/>
      <c r="Y9" s="17"/>
      <c r="Z9" s="2" t="s">
        <v>240</v>
      </c>
      <c r="AA9" s="40">
        <f t="shared" si="1"/>
        <v>109824.09964</v>
      </c>
      <c r="AB9" s="40" t="str">
        <f>IFERROR(INDEX(#REF!,MATCH(#REF!,#REF!,0)),"")</f>
        <v/>
      </c>
      <c r="AC9" s="40" t="str">
        <f>IFERROR(INDEX(#REF!,MATCH(#REF!,#REF!,0)),"")</f>
        <v/>
      </c>
      <c r="AD9" s="13"/>
      <c r="AE9" s="13"/>
      <c r="AF9" s="19">
        <f>131136.09964-22000+688</f>
        <v>109824.09964</v>
      </c>
      <c r="AG9" s="13"/>
      <c r="AQ9" s="33">
        <f>SUM(Projects[[#This Row],[2024 Actual]],Projects[[#This Row],[2025 Actual ]])</f>
        <v>0</v>
      </c>
      <c r="AS9" s="173">
        <f>IF(Projects[[#This Row],[WRP Funding Allocated USD]]=0,"-",Projects[[#This Row],[Actual Spend USD]]/Projects[[#This Row],[WRP Funding Allocated USD]])</f>
        <v>0</v>
      </c>
      <c r="AT9" s="28">
        <v>1</v>
      </c>
      <c r="AY9" s="150" t="e">
        <f>Projects[[#This Row],[No. Action Completed]]/Projects[[#This Row],[No. Actions Identified]]</f>
        <v>#DIV/0!</v>
      </c>
      <c r="BC9" s="15"/>
      <c r="BD9" s="15"/>
      <c r="BE9" s="17" t="s">
        <v>249</v>
      </c>
      <c r="BF9" s="17" t="s">
        <v>249</v>
      </c>
      <c r="BG9" s="38">
        <v>0</v>
      </c>
      <c r="BH9" s="38">
        <v>0</v>
      </c>
      <c r="BI9" s="64" t="s">
        <v>119</v>
      </c>
      <c r="BJ9" s="64" t="s">
        <v>119</v>
      </c>
      <c r="BK9" s="17" t="s">
        <v>259</v>
      </c>
      <c r="BL9" s="17" t="s">
        <v>119</v>
      </c>
      <c r="BM9" s="13"/>
      <c r="BN9" s="13"/>
      <c r="BO9" s="13"/>
      <c r="BP9" s="13"/>
    </row>
    <row r="10" spans="1:71" ht="81" customHeight="1">
      <c r="A10" s="32">
        <f>INDEX('Implementation Plan V2 Sep25'!A:A,MATCH(E10,'Implementation Plan V2 Sep25'!F:F,0))</f>
        <v>4</v>
      </c>
      <c r="B10" s="33" t="str">
        <f>INDEX('Implementation Plan V2 Sep25'!C:C,MATCH(E10,'Implementation Plan V2 Sep25'!F:F,0))</f>
        <v>Output 4.1 An integrated Pacific forecasting platform established and operating sustainably to global standards</v>
      </c>
      <c r="C10" s="33" t="str">
        <f>INDEX('Implementation Plan V2 Sep25'!E:E,MATCH(E10,'Implementation Plan V2 Sep25'!F:F,0))</f>
        <v>4.1.1</v>
      </c>
      <c r="D10" s="33">
        <f>INDEX('Implementation Plan V2 Sep25'!D:D,MATCH(E10,'Implementation Plan V2 Sep25'!F:F,0))</f>
        <v>41</v>
      </c>
      <c r="E10" s="2" t="s">
        <v>100</v>
      </c>
      <c r="F10" s="2" t="s">
        <v>260</v>
      </c>
      <c r="G10" s="2">
        <f>Projects[[#This Row],[Activity Ref]]</f>
        <v>41</v>
      </c>
      <c r="H10" s="45" t="s">
        <v>245</v>
      </c>
      <c r="I10" s="55">
        <v>2501</v>
      </c>
      <c r="J10" s="2" t="str">
        <f>IF(OR(ISBLANK(Projects[[#This Row],[Task]]),Projects[[#This Row],[Task]]=0),"",CONCATENATE(Projects[[#This Row],[Phase]],Projects[[#This Row],[Task]]))</f>
        <v>4101</v>
      </c>
      <c r="K10" s="2" t="s">
        <v>224</v>
      </c>
      <c r="L10" s="2" t="s">
        <v>261</v>
      </c>
      <c r="O10" s="2" t="s">
        <v>230</v>
      </c>
      <c r="Q10" s="2">
        <v>2025</v>
      </c>
      <c r="R10" s="2" t="s">
        <v>262</v>
      </c>
      <c r="S10" s="13">
        <f>Projects[[#This Row],[2025]]</f>
        <v>0</v>
      </c>
      <c r="T10" s="2" t="s">
        <v>216</v>
      </c>
      <c r="U10" s="2" t="s">
        <v>232</v>
      </c>
      <c r="V10" s="40">
        <f t="shared" si="0"/>
        <v>30000</v>
      </c>
      <c r="W10" s="15"/>
      <c r="X10" s="17"/>
      <c r="Y10" s="17"/>
      <c r="Z10" s="2" t="s">
        <v>248</v>
      </c>
      <c r="AA10" s="40">
        <f t="shared" si="1"/>
        <v>30000</v>
      </c>
      <c r="AB10" s="40" t="str">
        <f>IFERROR(INDEX(#REF!,MATCH(#REF!,#REF!,0)),"")</f>
        <v/>
      </c>
      <c r="AC10" s="40" t="str">
        <f>IFERROR(INDEX(#REF!,MATCH(#REF!,#REF!,0)),"")</f>
        <v/>
      </c>
      <c r="AD10" s="13"/>
      <c r="AE10" s="13"/>
      <c r="AF10" s="198">
        <v>30000</v>
      </c>
      <c r="AG10" s="196"/>
      <c r="AH10" s="196"/>
      <c r="AI10" s="196"/>
      <c r="AQ10" s="33">
        <f>SUM(Projects[[#This Row],[2024 Actual]],Projects[[#This Row],[2025 Actual ]])</f>
        <v>0</v>
      </c>
      <c r="AS10" s="173">
        <f>IF(Projects[[#This Row],[WRP Funding Allocated USD]]=0,"-",Projects[[#This Row],[Actual Spend USD]]/Projects[[#This Row],[WRP Funding Allocated USD]])</f>
        <v>0</v>
      </c>
      <c r="AT10" s="2">
        <v>0</v>
      </c>
      <c r="AY10" s="150" t="e">
        <f>Projects[[#This Row],[No. Action Completed]]/Projects[[#This Row],[No. Actions Identified]]</f>
        <v>#DIV/0!</v>
      </c>
      <c r="BC10" s="15"/>
      <c r="BD10" s="15"/>
      <c r="BE10" s="17" t="s">
        <v>241</v>
      </c>
      <c r="BF10" s="17" t="s">
        <v>220</v>
      </c>
      <c r="BG10" s="38">
        <v>1</v>
      </c>
      <c r="BH10" s="38">
        <v>0.2</v>
      </c>
      <c r="BI10" s="64" t="s">
        <v>221</v>
      </c>
      <c r="BJ10" s="64" t="s">
        <v>221</v>
      </c>
      <c r="BK10" s="151" t="s">
        <v>263</v>
      </c>
      <c r="BL10" s="151" t="s">
        <v>264</v>
      </c>
      <c r="BM10" s="13"/>
      <c r="BN10" s="13"/>
      <c r="BO10" s="13"/>
      <c r="BP10" s="13"/>
    </row>
    <row r="11" spans="1:71" ht="71.25" customHeight="1">
      <c r="A11" s="32">
        <f>INDEX('Implementation Plan V2 Sep25'!A:A,MATCH(E11,'Implementation Plan V2 Sep25'!F:F,0))</f>
        <v>4</v>
      </c>
      <c r="B11" s="33" t="str">
        <f>INDEX('Implementation Plan V2 Sep25'!C:C,MATCH(E11,'Implementation Plan V2 Sep25'!F:F,0))</f>
        <v>Output 4.1 An integrated Pacific forecasting platform established and operating sustainably to global standards</v>
      </c>
      <c r="C11" s="33" t="str">
        <f>INDEX('Implementation Plan V2 Sep25'!E:E,MATCH(E11,'Implementation Plan V2 Sep25'!F:F,0))</f>
        <v>4.1.1</v>
      </c>
      <c r="D11" s="33">
        <f>INDEX('Implementation Plan V2 Sep25'!D:D,MATCH(E11,'Implementation Plan V2 Sep25'!F:F,0))</f>
        <v>41</v>
      </c>
      <c r="E11" s="2" t="s">
        <v>100</v>
      </c>
      <c r="F11" s="2" t="s">
        <v>265</v>
      </c>
      <c r="G11" s="2">
        <f>Projects[[#This Row],[Activity Ref]]</f>
        <v>41</v>
      </c>
      <c r="H11" s="45" t="s">
        <v>266</v>
      </c>
      <c r="I11" s="2">
        <v>2602</v>
      </c>
      <c r="J11" s="2" t="str">
        <f>IF(OR(ISBLANK(Projects[[#This Row],[Task]]),Projects[[#This Row],[Task]]=0),"",CONCATENATE(Projects[[#This Row],[Phase]],Projects[[#This Row],[Task]]))</f>
        <v>4108</v>
      </c>
      <c r="K11" s="2" t="s">
        <v>224</v>
      </c>
      <c r="L11" s="60" t="s">
        <v>267</v>
      </c>
      <c r="M11" s="7"/>
      <c r="N11" s="28"/>
      <c r="O11" s="2" t="s">
        <v>230</v>
      </c>
      <c r="Q11" s="2">
        <v>2025</v>
      </c>
      <c r="R11" s="2" t="s">
        <v>268</v>
      </c>
      <c r="S11" s="13">
        <f>SUM(Projects[[#This Row],[2025]])</f>
        <v>0</v>
      </c>
      <c r="T11" s="2" t="s">
        <v>216</v>
      </c>
      <c r="U11" s="2" t="s">
        <v>232</v>
      </c>
      <c r="V11" s="40">
        <f t="shared" si="0"/>
        <v>75000</v>
      </c>
      <c r="W11" s="15"/>
      <c r="X11" s="17"/>
      <c r="Y11" s="17"/>
      <c r="Z11" s="2" t="s">
        <v>248</v>
      </c>
      <c r="AA11" s="40">
        <f t="shared" si="1"/>
        <v>75000</v>
      </c>
      <c r="AB11" s="40" t="str">
        <f>IFERROR(INDEX(#REF!,MATCH(#REF!,#REF!,0)),"")</f>
        <v/>
      </c>
      <c r="AC11" s="40" t="str">
        <f>IFERROR(INDEX(#REF!,MATCH(#REF!,#REF!,0)),"")</f>
        <v/>
      </c>
      <c r="AD11" s="13"/>
      <c r="AE11" s="13"/>
      <c r="AF11" s="198">
        <v>75000</v>
      </c>
      <c r="AG11" s="196"/>
      <c r="AH11" s="196"/>
      <c r="AI11" s="196"/>
      <c r="AQ11" s="33">
        <f>SUM(Projects[[#This Row],[2024 Actual]],Projects[[#This Row],[2025 Actual ]])</f>
        <v>0</v>
      </c>
      <c r="AS11" s="173">
        <f>IF(Projects[[#This Row],[WRP Funding Allocated USD]]=0,"-",Projects[[#This Row],[Actual Spend USD]]/Projects[[#This Row],[WRP Funding Allocated USD]])</f>
        <v>0</v>
      </c>
      <c r="AY11" s="150" t="e">
        <f>Projects[[#This Row],[No. Action Completed]]/Projects[[#This Row],[No. Actions Identified]]</f>
        <v>#DIV/0!</v>
      </c>
      <c r="BC11" s="15"/>
      <c r="BD11" s="15"/>
      <c r="BE11" s="17" t="s">
        <v>249</v>
      </c>
      <c r="BF11" s="17" t="s">
        <v>249</v>
      </c>
      <c r="BG11" s="38">
        <v>0</v>
      </c>
      <c r="BH11" s="38">
        <v>0</v>
      </c>
      <c r="BI11" s="64" t="s">
        <v>119</v>
      </c>
      <c r="BJ11" s="64" t="s">
        <v>119</v>
      </c>
      <c r="BK11" s="17" t="s">
        <v>269</v>
      </c>
      <c r="BL11" s="17" t="s">
        <v>270</v>
      </c>
      <c r="BM11" s="13"/>
      <c r="BN11" s="13"/>
      <c r="BO11" s="13"/>
      <c r="BP11" s="13"/>
    </row>
    <row r="12" spans="1:71" ht="69.75" customHeight="1">
      <c r="A12" s="32">
        <f>INDEX('Implementation Plan V2 Sep25'!A:A,MATCH(E12,'Implementation Plan V2 Sep25'!F:F,0))</f>
        <v>4</v>
      </c>
      <c r="B12" s="33" t="str">
        <f>INDEX('Implementation Plan V2 Sep25'!C:C,MATCH(E12,'Implementation Plan V2 Sep25'!F:F,0))</f>
        <v>Output 4.1 An integrated Pacific forecasting platform established and operating sustainably to global standards</v>
      </c>
      <c r="C12" s="33" t="str">
        <f>INDEX('Implementation Plan V2 Sep25'!E:E,MATCH(E12,'Implementation Plan V2 Sep25'!F:F,0))</f>
        <v>4.1.1</v>
      </c>
      <c r="D12" s="33">
        <f>INDEX('Implementation Plan V2 Sep25'!D:D,MATCH(E12,'Implementation Plan V2 Sep25'!F:F,0))</f>
        <v>41</v>
      </c>
      <c r="E12" s="2" t="s">
        <v>100</v>
      </c>
      <c r="F12" s="7" t="s">
        <v>271</v>
      </c>
      <c r="G12" s="7">
        <f>Projects[[#This Row],[Activity Ref]]</f>
        <v>41</v>
      </c>
      <c r="H12" s="45" t="s">
        <v>272</v>
      </c>
      <c r="I12" s="2">
        <v>2602</v>
      </c>
      <c r="J12" s="2" t="str">
        <f>IF(OR(ISBLANK(Projects[[#This Row],[Task]]),Projects[[#This Row],[Task]]=0),"",CONCATENATE(Projects[[#This Row],[Phase]],Projects[[#This Row],[Task]]))</f>
        <v>4104</v>
      </c>
      <c r="K12" s="2" t="s">
        <v>214</v>
      </c>
      <c r="L12" s="60" t="s">
        <v>267</v>
      </c>
      <c r="O12" s="2" t="s">
        <v>230</v>
      </c>
      <c r="Q12" s="2">
        <v>2026</v>
      </c>
      <c r="S12" s="13"/>
      <c r="T12" s="2" t="s">
        <v>216</v>
      </c>
      <c r="U12" s="2" t="s">
        <v>232</v>
      </c>
      <c r="V12" s="40">
        <f t="shared" si="0"/>
        <v>1550000</v>
      </c>
      <c r="W12" s="15"/>
      <c r="X12" s="17"/>
      <c r="Y12" s="17"/>
      <c r="Z12" s="2" t="s">
        <v>248</v>
      </c>
      <c r="AA12" s="40">
        <f t="shared" si="1"/>
        <v>1550000</v>
      </c>
      <c r="AB12" s="40" t="str">
        <f>IFERROR(INDEX(#REF!,MATCH(#REF!,#REF!,0)),"")</f>
        <v/>
      </c>
      <c r="AC12" s="40" t="str">
        <f>IFERROR(INDEX(#REF!,MATCH(#REF!,#REF!,0)),"")</f>
        <v/>
      </c>
      <c r="AD12" s="13"/>
      <c r="AE12" s="19"/>
      <c r="AF12" s="198">
        <v>750000</v>
      </c>
      <c r="AG12" s="198">
        <v>800000</v>
      </c>
      <c r="AH12" s="198"/>
      <c r="AI12" s="195"/>
      <c r="AJ12" s="19"/>
      <c r="AK12" s="19"/>
      <c r="AL12" s="19"/>
      <c r="AM12" s="19"/>
      <c r="AO12" s="19"/>
      <c r="AP12" s="19"/>
      <c r="AQ12" s="33">
        <f>SUM(Projects[[#This Row],[2024 Actual]],Projects[[#This Row],[2025 Actual ]])</f>
        <v>0</v>
      </c>
      <c r="AS12" s="173">
        <f>IF(Projects[[#This Row],[WRP Funding Allocated USD]]=0,"-",Projects[[#This Row],[Actual Spend USD]]/Projects[[#This Row],[WRP Funding Allocated USD]])</f>
        <v>0</v>
      </c>
      <c r="AY12" s="150" t="e">
        <f>Projects[[#This Row],[No. Action Completed]]/Projects[[#This Row],[No. Actions Identified]]</f>
        <v>#DIV/0!</v>
      </c>
      <c r="BC12" s="15"/>
      <c r="BD12" s="15"/>
      <c r="BE12" s="17" t="s">
        <v>249</v>
      </c>
      <c r="BF12" s="17" t="s">
        <v>249</v>
      </c>
      <c r="BG12" s="38">
        <v>0</v>
      </c>
      <c r="BH12" s="38">
        <v>0</v>
      </c>
      <c r="BI12" s="64" t="s">
        <v>119</v>
      </c>
      <c r="BJ12" s="64" t="s">
        <v>119</v>
      </c>
      <c r="BK12" s="17" t="s">
        <v>242</v>
      </c>
      <c r="BL12" s="17" t="s">
        <v>273</v>
      </c>
      <c r="BM12" s="13"/>
      <c r="BN12" s="13"/>
      <c r="BO12" s="13"/>
      <c r="BP12" s="13"/>
    </row>
    <row r="13" spans="1:71" ht="58.5" customHeight="1">
      <c r="A13" s="32">
        <f>INDEX('Implementation Plan V2 Sep25'!A:A,MATCH(E13,'Implementation Plan V2 Sep25'!F:F,0))</f>
        <v>1</v>
      </c>
      <c r="B13" s="33" t="str">
        <f>INDEX('Implementation Plan V2 Sep25'!C:C,MATCH(E13,'Implementation Plan V2 Sep25'!F:F,0))</f>
        <v>Output 1.1 WRP governance, management and financing mechanisms established, mandated and equipped to coordinate a Pacific-led, integrated, and sustainable programme</v>
      </c>
      <c r="C13" s="33" t="str">
        <f>INDEX('Implementation Plan V2 Sep25'!E:E,MATCH(E13,'Implementation Plan V2 Sep25'!F:F,0))</f>
        <v>1.1.3</v>
      </c>
      <c r="D13" s="33">
        <f>INDEX('Implementation Plan V2 Sep25'!D:D,MATCH(E13,'Implementation Plan V2 Sep25'!F:F,0))</f>
        <v>13</v>
      </c>
      <c r="E13" s="2" t="s">
        <v>22</v>
      </c>
      <c r="F13" s="2" t="s">
        <v>274</v>
      </c>
      <c r="G13" s="2">
        <f>Projects[[#This Row],[Activity Ref]]</f>
        <v>13</v>
      </c>
      <c r="H13" s="45" t="s">
        <v>275</v>
      </c>
      <c r="J13" s="2" t="str">
        <f>IF(OR(ISBLANK(Projects[[#This Row],[Task]]),Projects[[#This Row],[Task]]=0),"",CONCATENATE(Projects[[#This Row],[Phase]],Projects[[#This Row],[Task]]))</f>
        <v>1303</v>
      </c>
      <c r="K13" s="2" t="s">
        <v>224</v>
      </c>
      <c r="L13" s="2" t="s">
        <v>229</v>
      </c>
      <c r="O13" s="2" t="s">
        <v>230</v>
      </c>
      <c r="S13" s="13"/>
      <c r="T13" s="2" t="s">
        <v>216</v>
      </c>
      <c r="U13" s="2" t="s">
        <v>232</v>
      </c>
      <c r="V13" s="40">
        <f t="shared" si="0"/>
        <v>0</v>
      </c>
      <c r="W13" s="15"/>
      <c r="X13" s="17"/>
      <c r="Y13" s="17"/>
      <c r="Z13" s="2" t="s">
        <v>233</v>
      </c>
      <c r="AA13" s="40">
        <f t="shared" si="1"/>
        <v>0</v>
      </c>
      <c r="AB13" s="40" t="str">
        <f>IFERROR(INDEX(#REF!,MATCH(#REF!,#REF!,0)),"")</f>
        <v/>
      </c>
      <c r="AC13" s="40" t="str">
        <f>IFERROR(INDEX(#REF!,MATCH(#REF!,#REF!,0)),"")</f>
        <v/>
      </c>
      <c r="AD13" s="13"/>
      <c r="AE13" s="20"/>
      <c r="AF13" s="196"/>
      <c r="AG13" s="196"/>
      <c r="AH13" s="196"/>
      <c r="AI13" s="196"/>
      <c r="AQ13" s="33">
        <f>SUM(Projects[[#This Row],[2024 Actual]],Projects[[#This Row],[2025 Actual ]])</f>
        <v>0</v>
      </c>
      <c r="AS13" s="173" t="str">
        <f>IF(Projects[[#This Row],[WRP Funding Allocated USD]]=0,"-",Projects[[#This Row],[Actual Spend USD]]/Projects[[#This Row],[WRP Funding Allocated USD]])</f>
        <v>-</v>
      </c>
      <c r="AY13" s="150" t="e">
        <f>Projects[[#This Row],[No. Action Completed]]/Projects[[#This Row],[No. Actions Identified]]</f>
        <v>#DIV/0!</v>
      </c>
      <c r="BC13" s="15"/>
      <c r="BD13" s="15"/>
      <c r="BE13" s="17" t="s">
        <v>276</v>
      </c>
      <c r="BF13" s="17" t="s">
        <v>276</v>
      </c>
      <c r="BG13" s="38">
        <v>0</v>
      </c>
      <c r="BH13" s="38">
        <v>0</v>
      </c>
      <c r="BI13" s="64" t="s">
        <v>119</v>
      </c>
      <c r="BJ13" s="64" t="s">
        <v>119</v>
      </c>
      <c r="BK13" s="17" t="s">
        <v>242</v>
      </c>
      <c r="BL13" s="17" t="s">
        <v>277</v>
      </c>
      <c r="BM13" s="13"/>
      <c r="BN13" s="13"/>
      <c r="BO13" s="13"/>
      <c r="BP13" s="13"/>
    </row>
    <row r="14" spans="1:71" ht="63" customHeight="1">
      <c r="A14" s="32">
        <f>INDEX('Implementation Plan V2 Sep25'!A:A,MATCH(E14,'Implementation Plan V2 Sep25'!F:F,0))</f>
        <v>4</v>
      </c>
      <c r="B14" s="33" t="str">
        <f>INDEX('Implementation Plan V2 Sep25'!C:C,MATCH(E14,'Implementation Plan V2 Sep25'!F:F,0))</f>
        <v>OP4.2 Pacific forecasting capacity expanded and maintained</v>
      </c>
      <c r="C14" s="33" t="str">
        <f>INDEX('Implementation Plan V2 Sep25'!E:E,MATCH(E14,'Implementation Plan V2 Sep25'!F:F,0))</f>
        <v>4.2.6</v>
      </c>
      <c r="D14" s="33">
        <f>INDEX('Implementation Plan V2 Sep25'!D:D,MATCH(E14,'Implementation Plan V2 Sep25'!F:F,0))</f>
        <v>47</v>
      </c>
      <c r="E14" s="2" t="s">
        <v>118</v>
      </c>
      <c r="F14" s="2" t="s">
        <v>278</v>
      </c>
      <c r="G14" s="2">
        <f>Projects[[#This Row],[Activity Ref]]</f>
        <v>47</v>
      </c>
      <c r="H14" s="45" t="s">
        <v>279</v>
      </c>
      <c r="I14" s="55">
        <v>2509</v>
      </c>
      <c r="J14" s="2" t="str">
        <f>IF(OR(ISBLANK(Projects[[#This Row],[Task]]),Projects[[#This Row],[Task]]=0),"",CONCATENATE(Projects[[#This Row],[Phase]],Projects[[#This Row],[Task]]))</f>
        <v>4709</v>
      </c>
      <c r="K14" s="2" t="s">
        <v>224</v>
      </c>
      <c r="L14" s="2" t="s">
        <v>280</v>
      </c>
      <c r="O14" s="2" t="s">
        <v>251</v>
      </c>
      <c r="Q14" s="2">
        <v>2025</v>
      </c>
      <c r="R14" s="2" t="s">
        <v>281</v>
      </c>
      <c r="S14" s="13">
        <f>Projects[[#This Row],[2025]]+Projects[[#This Row],[2026 Budget]]/2</f>
        <v>108469.375</v>
      </c>
      <c r="T14" s="2" t="s">
        <v>216</v>
      </c>
      <c r="U14" s="2" t="s">
        <v>232</v>
      </c>
      <c r="V14" s="40">
        <f t="shared" si="0"/>
        <v>216938.75</v>
      </c>
      <c r="W14" s="15"/>
      <c r="X14" s="17"/>
      <c r="Y14" s="17"/>
      <c r="Z14" s="2" t="s">
        <v>248</v>
      </c>
      <c r="AA14" s="40">
        <f t="shared" si="1"/>
        <v>216938.75</v>
      </c>
      <c r="AB14" s="40" t="str">
        <f>IFERROR(INDEX(#REF!,MATCH(#REF!,#REF!,0)),"")</f>
        <v/>
      </c>
      <c r="AC14" s="40" t="str">
        <f>IFERROR(INDEX(#REF!,MATCH(#REF!,#REF!,0)),"")</f>
        <v/>
      </c>
      <c r="AD14" s="13"/>
      <c r="AE14" s="19"/>
      <c r="AF14" s="195">
        <v>216938.75</v>
      </c>
      <c r="AG14" s="196"/>
      <c r="AH14" s="196"/>
      <c r="AI14" s="196"/>
      <c r="AQ14" s="33">
        <f>SUM(Projects[[#This Row],[2024 Actual]],Projects[[#This Row],[2025 Actual ]])</f>
        <v>0</v>
      </c>
      <c r="AS14" s="173">
        <f>IF(Projects[[#This Row],[WRP Funding Allocated USD]]=0,"-",Projects[[#This Row],[Actual Spend USD]]/Projects[[#This Row],[WRP Funding Allocated USD]])</f>
        <v>0</v>
      </c>
      <c r="AT14" s="2">
        <v>0</v>
      </c>
      <c r="AY14" s="150" t="e">
        <f>Projects[[#This Row],[No. Action Completed]]/Projects[[#This Row],[No. Actions Identified]]</f>
        <v>#DIV/0!</v>
      </c>
      <c r="BC14" s="15"/>
      <c r="BD14" s="15"/>
      <c r="BE14" s="17" t="s">
        <v>220</v>
      </c>
      <c r="BF14" s="17" t="s">
        <v>276</v>
      </c>
      <c r="BG14" s="38">
        <v>0.15</v>
      </c>
      <c r="BH14" s="38">
        <v>0</v>
      </c>
      <c r="BI14" s="64" t="s">
        <v>221</v>
      </c>
      <c r="BJ14" s="64" t="s">
        <v>119</v>
      </c>
      <c r="BK14" s="17" t="s">
        <v>282</v>
      </c>
      <c r="BL14" s="17" t="s">
        <v>283</v>
      </c>
      <c r="BM14" s="13"/>
      <c r="BN14" s="13"/>
      <c r="BO14" s="13"/>
      <c r="BP14" s="13"/>
    </row>
    <row r="15" spans="1:71" ht="63" customHeight="1">
      <c r="A15" s="32">
        <f>INDEX('Implementation Plan V2 Sep25'!A:A,MATCH(E15,'Implementation Plan V2 Sep25'!F:F,0))</f>
        <v>1</v>
      </c>
      <c r="B15" s="33" t="str">
        <f>INDEX('Implementation Plan V2 Sep25'!C:C,MATCH(E15,'Implementation Plan V2 Sep25'!F:F,0))</f>
        <v>Output 1.1 WRP governance, management and financing mechanisms established, mandated and equipped to coordinate a Pacific-led, integrated, and sustainable programme</v>
      </c>
      <c r="C15" s="33" t="str">
        <f>INDEX('Implementation Plan V2 Sep25'!E:E,MATCH(E15,'Implementation Plan V2 Sep25'!F:F,0))</f>
        <v>1.1.2</v>
      </c>
      <c r="D15" s="33">
        <f>INDEX('Implementation Plan V2 Sep25'!D:D,MATCH(E15,'Implementation Plan V2 Sep25'!F:F,0))</f>
        <v>12</v>
      </c>
      <c r="E15" s="2" t="s">
        <v>19</v>
      </c>
      <c r="F15" s="2" t="s">
        <v>284</v>
      </c>
      <c r="G15" s="2">
        <f>Projects[[#This Row],[Activity Ref]]</f>
        <v>12</v>
      </c>
      <c r="H15" s="45" t="s">
        <v>285</v>
      </c>
      <c r="J15" s="2" t="str">
        <f>IF(OR(ISBLANK(Projects[[#This Row],[Task]]),Projects[[#This Row],[Task]]=0),"",CONCATENATE(Projects[[#This Row],[Phase]],Projects[[#This Row],[Task]]))</f>
        <v>1202</v>
      </c>
      <c r="K15" s="2" t="s">
        <v>224</v>
      </c>
      <c r="L15" s="2" t="s">
        <v>229</v>
      </c>
      <c r="O15" s="2" t="s">
        <v>286</v>
      </c>
      <c r="S15" s="13"/>
      <c r="T15" s="2" t="s">
        <v>216</v>
      </c>
      <c r="U15" s="2" t="s">
        <v>232</v>
      </c>
      <c r="V15" s="40">
        <f t="shared" si="0"/>
        <v>84877.620652173893</v>
      </c>
      <c r="W15" s="15"/>
      <c r="X15" s="17"/>
      <c r="Y15" s="17"/>
      <c r="Z15" s="2" t="s">
        <v>233</v>
      </c>
      <c r="AA15" s="40">
        <f t="shared" si="1"/>
        <v>84877.620652173893</v>
      </c>
      <c r="AB15" s="40" t="str">
        <f>IFERROR(INDEX(#REF!,MATCH(#REF!,#REF!,0)),"")</f>
        <v/>
      </c>
      <c r="AC15" s="40" t="str">
        <f>IFERROR(INDEX(#REF!,MATCH(#REF!,#REF!,0)),"")</f>
        <v/>
      </c>
      <c r="AD15" s="19">
        <v>27584.2</v>
      </c>
      <c r="AE15" s="19">
        <v>27293.42</v>
      </c>
      <c r="AF15" s="196">
        <f>32608.6956521739-2608.695</f>
        <v>30000.000652173901</v>
      </c>
      <c r="AG15" s="196"/>
      <c r="AH15" s="196"/>
      <c r="AI15" s="196"/>
      <c r="AN15" s="13">
        <v>27584.2</v>
      </c>
      <c r="AO15" s="13">
        <v>28422.68</v>
      </c>
      <c r="AP15" s="19">
        <f>Projects[[#This Row],[2025]]</f>
        <v>27293.42</v>
      </c>
      <c r="AQ15" s="33">
        <f>SUM(Projects[[#This Row],[2024 Actual]],Projects[[#This Row],[2025 Actual ]])</f>
        <v>54877.619999999995</v>
      </c>
      <c r="AS15" s="173">
        <f>IF(Projects[[#This Row],[WRP Funding Allocated USD]]=0,"-",Projects[[#This Row],[Actual Spend USD]]/Projects[[#This Row],[WRP Funding Allocated USD]])</f>
        <v>0.64654993363783064</v>
      </c>
      <c r="AY15" s="150" t="e">
        <f>Projects[[#This Row],[No. Action Completed]]/Projects[[#This Row],[No. Actions Identified]]</f>
        <v>#DIV/0!</v>
      </c>
      <c r="BC15" s="15"/>
      <c r="BD15" s="15"/>
      <c r="BE15" s="17" t="s">
        <v>220</v>
      </c>
      <c r="BF15" s="17" t="s">
        <v>220</v>
      </c>
      <c r="BG15" s="38">
        <v>0.3</v>
      </c>
      <c r="BH15" s="38">
        <v>0.3</v>
      </c>
      <c r="BI15" s="64" t="s">
        <v>221</v>
      </c>
      <c r="BJ15" s="64" t="s">
        <v>221</v>
      </c>
      <c r="BK15" s="152" t="s">
        <v>242</v>
      </c>
      <c r="BL15" s="152" t="s">
        <v>119</v>
      </c>
      <c r="BM15" s="13"/>
      <c r="BN15" s="13"/>
      <c r="BO15" s="13"/>
      <c r="BP15" s="13"/>
    </row>
    <row r="16" spans="1:71" ht="62.65" customHeight="1">
      <c r="A16" s="32">
        <f>INDEX('Implementation Plan V2 Sep25'!A:A,MATCH(E16,'Implementation Plan V2 Sep25'!F:F,0))</f>
        <v>1</v>
      </c>
      <c r="B16" s="33" t="str">
        <f>INDEX('Implementation Plan V2 Sep25'!C:C,MATCH(E16,'Implementation Plan V2 Sep25'!F:F,0))</f>
        <v>Output 1.1 WRP governance, management and financing mechanisms established, mandated and equipped to coordinate a Pacific-led, integrated, and sustainable programme</v>
      </c>
      <c r="C16" s="33" t="str">
        <f>INDEX('Implementation Plan V2 Sep25'!E:E,MATCH(E16,'Implementation Plan V2 Sep25'!F:F,0))</f>
        <v>1.1.1</v>
      </c>
      <c r="D16" s="33">
        <f>INDEX('Implementation Plan V2 Sep25'!D:D,MATCH(E16,'Implementation Plan V2 Sep25'!F:F,0))</f>
        <v>11</v>
      </c>
      <c r="E16" s="2" t="s">
        <v>16</v>
      </c>
      <c r="F16" s="2" t="s">
        <v>287</v>
      </c>
      <c r="G16" s="2">
        <f>Projects[[#This Row],[Activity Ref]]</f>
        <v>11</v>
      </c>
      <c r="H16" s="45" t="s">
        <v>245</v>
      </c>
      <c r="J16" s="2" t="str">
        <f>IF(OR(ISBLANK(Projects[[#This Row],[Task]]),Projects[[#This Row],[Task]]=0),"",CONCATENATE(Projects[[#This Row],[Phase]],Projects[[#This Row],[Task]]))</f>
        <v>1101</v>
      </c>
      <c r="K16" s="2" t="s">
        <v>224</v>
      </c>
      <c r="L16" s="2" t="s">
        <v>229</v>
      </c>
      <c r="O16" s="2" t="s">
        <v>230</v>
      </c>
      <c r="S16" s="13"/>
      <c r="T16" s="2" t="s">
        <v>216</v>
      </c>
      <c r="U16" s="2" t="s">
        <v>232</v>
      </c>
      <c r="V16" s="40">
        <f t="shared" si="0"/>
        <v>34758.229999999996</v>
      </c>
      <c r="W16" s="15"/>
      <c r="X16" s="17"/>
      <c r="Y16" s="17"/>
      <c r="Z16" s="2" t="s">
        <v>233</v>
      </c>
      <c r="AA16" s="40">
        <f t="shared" si="1"/>
        <v>34758.229999999996</v>
      </c>
      <c r="AB16" s="40" t="str">
        <f>IFERROR(INDEX(#REF!,MATCH(#REF!,#REF!,0)),"")</f>
        <v/>
      </c>
      <c r="AC16" s="40" t="str">
        <f>IFERROR(INDEX(#REF!,MATCH(#REF!,#REF!,0)),"")</f>
        <v/>
      </c>
      <c r="AD16" s="13"/>
      <c r="AE16" s="19">
        <v>4758.2299999999996</v>
      </c>
      <c r="AF16" s="196">
        <v>20000</v>
      </c>
      <c r="AG16" s="196">
        <v>10000</v>
      </c>
      <c r="AH16" s="196"/>
      <c r="AI16" s="196"/>
      <c r="AP16" s="13">
        <f>Projects[[#This Row],[2025]]</f>
        <v>4758.2299999999996</v>
      </c>
      <c r="AQ16" s="33">
        <f>SUM(Projects[[#This Row],[2024 Actual]],Projects[[#This Row],[2025 Actual ]])</f>
        <v>4758.2299999999996</v>
      </c>
      <c r="AS16" s="173">
        <f>IF(Projects[[#This Row],[WRP Funding Allocated USD]]=0,"-",Projects[[#This Row],[Actual Spend USD]]/Projects[[#This Row],[WRP Funding Allocated USD]])</f>
        <v>0.13689506053674194</v>
      </c>
      <c r="AY16" s="150" t="e">
        <f>Projects[[#This Row],[No. Action Completed]]/Projects[[#This Row],[No. Actions Identified]]</f>
        <v>#DIV/0!</v>
      </c>
      <c r="BC16" s="15"/>
      <c r="BD16" s="15"/>
      <c r="BE16" s="17" t="s">
        <v>249</v>
      </c>
      <c r="BF16" s="17" t="s">
        <v>249</v>
      </c>
      <c r="BG16" s="38">
        <v>0</v>
      </c>
      <c r="BH16" s="38">
        <v>0</v>
      </c>
      <c r="BI16" s="64" t="s">
        <v>119</v>
      </c>
      <c r="BJ16" s="64" t="s">
        <v>119</v>
      </c>
      <c r="BK16" s="18" t="s">
        <v>288</v>
      </c>
      <c r="BL16" s="22" t="s">
        <v>119</v>
      </c>
    </row>
    <row r="17" spans="1:64" ht="51.6" customHeight="1">
      <c r="A17" s="32">
        <f>INDEX('Implementation Plan V2 Sep25'!A:A,MATCH(E17,'Implementation Plan V2 Sep25'!F:F,0))</f>
        <v>1</v>
      </c>
      <c r="B17" s="33" t="str">
        <f>INDEX('Implementation Plan V2 Sep25'!C:C,MATCH(E17,'Implementation Plan V2 Sep25'!F:F,0))</f>
        <v>Output 1.1 WRP governance, management and financing mechanisms established, mandated and equipped to coordinate a Pacific-led, integrated, and sustainable programme</v>
      </c>
      <c r="C17" s="33" t="str">
        <f>INDEX('Implementation Plan V2 Sep25'!E:E,MATCH(E17,'Implementation Plan V2 Sep25'!F:F,0))</f>
        <v>1.1.2</v>
      </c>
      <c r="D17" s="33">
        <f>INDEX('Implementation Plan V2 Sep25'!D:D,MATCH(E17,'Implementation Plan V2 Sep25'!F:F,0))</f>
        <v>12</v>
      </c>
      <c r="E17" s="2" t="s">
        <v>19</v>
      </c>
      <c r="F17" s="2" t="s">
        <v>289</v>
      </c>
      <c r="G17" s="2">
        <f>Projects[[#This Row],[Activity Ref]]</f>
        <v>12</v>
      </c>
      <c r="H17" s="45" t="s">
        <v>245</v>
      </c>
      <c r="J17" s="2" t="str">
        <f>IF(OR(ISBLANK(Projects[[#This Row],[Task]]),Projects[[#This Row],[Task]]=0),"",CONCATENATE(Projects[[#This Row],[Phase]],Projects[[#This Row],[Task]]))</f>
        <v>1201</v>
      </c>
      <c r="K17" s="2" t="s">
        <v>224</v>
      </c>
      <c r="L17" s="2" t="s">
        <v>229</v>
      </c>
      <c r="O17" s="2" t="s">
        <v>230</v>
      </c>
      <c r="S17" s="13"/>
      <c r="T17" s="2" t="s">
        <v>216</v>
      </c>
      <c r="U17" s="2" t="s">
        <v>232</v>
      </c>
      <c r="V17" s="40">
        <f t="shared" si="0"/>
        <v>180264.46608695656</v>
      </c>
      <c r="W17" s="15"/>
      <c r="X17" s="17"/>
      <c r="Y17" s="17"/>
      <c r="Z17" s="2" t="s">
        <v>233</v>
      </c>
      <c r="AA17" s="40">
        <f t="shared" si="1"/>
        <v>180264.46608695656</v>
      </c>
      <c r="AB17" s="40" t="str">
        <f>IFERROR(INDEX(#REF!,MATCH(#REF!,#REF!,0)),"")</f>
        <v/>
      </c>
      <c r="AC17" s="40" t="str">
        <f>IFERROR(INDEX(#REF!,MATCH(#REF!,#REF!,0)),"")</f>
        <v/>
      </c>
      <c r="AD17" s="13"/>
      <c r="AE17" s="19">
        <v>96456.640000000014</v>
      </c>
      <c r="AF17" s="196">
        <f>192758/2/1.15</f>
        <v>83807.826086956527</v>
      </c>
      <c r="AG17" s="196"/>
      <c r="AH17" s="197"/>
      <c r="AI17" s="195"/>
      <c r="AO17" s="13">
        <v>44101.86</v>
      </c>
      <c r="AP17" s="13">
        <f>Projects[[#This Row],[2025]]</f>
        <v>96456.640000000014</v>
      </c>
      <c r="AQ17" s="33">
        <f>SUM(Projects[[#This Row],[2024 Actual]],Projects[[#This Row],[2025 Actual ]])</f>
        <v>96456.640000000014</v>
      </c>
      <c r="AS17" s="173">
        <f>IF(Projects[[#This Row],[WRP Funding Allocated USD]]=0,"-",Projects[[#This Row],[Actual Spend USD]]/Projects[[#This Row],[WRP Funding Allocated USD]])</f>
        <v>0.53508404675534305</v>
      </c>
      <c r="AY17" s="150" t="e">
        <f>Projects[[#This Row],[No. Action Completed]]/Projects[[#This Row],[No. Actions Identified]]</f>
        <v>#DIV/0!</v>
      </c>
      <c r="BC17" s="15"/>
      <c r="BD17" s="15"/>
      <c r="BE17" s="17" t="s">
        <v>220</v>
      </c>
      <c r="BF17" s="17" t="s">
        <v>220</v>
      </c>
      <c r="BG17" s="38">
        <v>0.2</v>
      </c>
      <c r="BH17" s="38">
        <v>0.2</v>
      </c>
      <c r="BI17" s="64" t="s">
        <v>221</v>
      </c>
      <c r="BJ17" s="64" t="s">
        <v>221</v>
      </c>
      <c r="BK17" s="151" t="s">
        <v>242</v>
      </c>
      <c r="BL17" s="151" t="s">
        <v>119</v>
      </c>
    </row>
    <row r="18" spans="1:64" ht="77.099999999999994" customHeight="1">
      <c r="A18" s="32">
        <f>INDEX('Implementation Plan V2 Sep25'!A:A,MATCH(E18,'Implementation Plan V2 Sep25'!F:F,0))</f>
        <v>3</v>
      </c>
      <c r="B18" s="33" t="str">
        <f>INDEX('Implementation Plan V2 Sep25'!C:C,MATCH(E18,'Implementation Plan V2 Sep25'!F:F,0))</f>
        <v>Output 3.1 Interoperable, affordable and resilient observation network progressively remediated, expanded and sustained</v>
      </c>
      <c r="C18" s="33" t="str">
        <f>INDEX('Implementation Plan V2 Sep25'!E:E,MATCH(E18,'Implementation Plan V2 Sep25'!F:F,0))</f>
        <v>3.1.1</v>
      </c>
      <c r="D18" s="33">
        <f>INDEX('Implementation Plan V2 Sep25'!D:D,MATCH(E18,'Implementation Plan V2 Sep25'!F:F,0))</f>
        <v>32</v>
      </c>
      <c r="E18" s="2" t="s">
        <v>71</v>
      </c>
      <c r="F18" s="7" t="s">
        <v>290</v>
      </c>
      <c r="G18" s="7">
        <f>Projects[[#This Row],[Activity Ref]]</f>
        <v>32</v>
      </c>
      <c r="H18" s="45" t="s">
        <v>291</v>
      </c>
      <c r="J18" s="2" t="str">
        <f>IF(OR(ISBLANK(Projects[[#This Row],[Task]]),Projects[[#This Row],[Task]]=0),"",CONCATENATE(Projects[[#This Row],[Phase]],Projects[[#This Row],[Task]]))</f>
        <v>3206</v>
      </c>
      <c r="K18" s="2" t="s">
        <v>224</v>
      </c>
      <c r="L18" s="2" t="s">
        <v>229</v>
      </c>
      <c r="O18" s="60" t="s">
        <v>292</v>
      </c>
      <c r="P18" s="60"/>
      <c r="Q18" s="60">
        <v>2025</v>
      </c>
      <c r="R18" s="37" t="s">
        <v>293</v>
      </c>
      <c r="S18" s="13">
        <f>Projects[[#This Row],[2025]]</f>
        <v>0</v>
      </c>
      <c r="T18" s="2" t="s">
        <v>216</v>
      </c>
      <c r="U18" s="2" t="s">
        <v>232</v>
      </c>
      <c r="V18" s="40">
        <f t="shared" si="0"/>
        <v>10000</v>
      </c>
      <c r="W18" s="15"/>
      <c r="X18" s="17"/>
      <c r="Y18" s="17"/>
      <c r="Z18" s="2" t="s">
        <v>248</v>
      </c>
      <c r="AA18" s="40">
        <f t="shared" si="1"/>
        <v>10000</v>
      </c>
      <c r="AB18" s="40" t="str">
        <f>IFERROR(INDEX(#REF!,MATCH(#REF!,#REF!,0)),"")</f>
        <v/>
      </c>
      <c r="AC18" s="40" t="str">
        <f>IFERROR(INDEX(#REF!,MATCH(#REF!,#REF!,0)),"")</f>
        <v/>
      </c>
      <c r="AD18" s="13"/>
      <c r="AE18" s="19"/>
      <c r="AF18" s="13"/>
      <c r="AG18" s="19">
        <v>10000</v>
      </c>
      <c r="AH18" s="20"/>
      <c r="AI18" s="20"/>
      <c r="AQ18" s="33">
        <f>SUM(Projects[[#This Row],[2024 Actual]],Projects[[#This Row],[2025 Actual ]])</f>
        <v>0</v>
      </c>
      <c r="AS18" s="173">
        <f>IF(Projects[[#This Row],[WRP Funding Allocated USD]]=0,"-",Projects[[#This Row],[Actual Spend USD]]/Projects[[#This Row],[WRP Funding Allocated USD]])</f>
        <v>0</v>
      </c>
      <c r="AY18" s="150" t="e">
        <f>Projects[[#This Row],[No. Action Completed]]/Projects[[#This Row],[No. Actions Identified]]</f>
        <v>#DIV/0!</v>
      </c>
      <c r="BC18" s="15"/>
      <c r="BD18" s="15"/>
      <c r="BE18" s="17" t="s">
        <v>249</v>
      </c>
      <c r="BF18" s="17" t="s">
        <v>249</v>
      </c>
      <c r="BG18" s="38">
        <v>0</v>
      </c>
      <c r="BH18" s="38">
        <v>0</v>
      </c>
      <c r="BI18" s="64" t="s">
        <v>119</v>
      </c>
      <c r="BJ18" s="64" t="s">
        <v>119</v>
      </c>
      <c r="BK18" s="17" t="s">
        <v>242</v>
      </c>
      <c r="BL18" s="17" t="s">
        <v>294</v>
      </c>
    </row>
    <row r="19" spans="1:64" ht="66.599999999999994" customHeight="1">
      <c r="A19" s="32">
        <f>INDEX('Implementation Plan V2 Sep25'!A:A,MATCH(E19,'Implementation Plan V2 Sep25'!F:F,0))</f>
        <v>3</v>
      </c>
      <c r="B19" s="33" t="str">
        <f>INDEX('Implementation Plan V2 Sep25'!C:C,MATCH(E19,'Implementation Plan V2 Sep25'!F:F,0))</f>
        <v>Output 3.1 Interoperable, affordable and resilient observation network progressively remediated, expanded and sustained</v>
      </c>
      <c r="C19" s="33" t="str">
        <f>INDEX('Implementation Plan V2 Sep25'!E:E,MATCH(E19,'Implementation Plan V2 Sep25'!F:F,0))</f>
        <v>3.1.1</v>
      </c>
      <c r="D19" s="33">
        <f>INDEX('Implementation Plan V2 Sep25'!D:D,MATCH(E19,'Implementation Plan V2 Sep25'!F:F,0))</f>
        <v>32</v>
      </c>
      <c r="E19" s="2" t="s">
        <v>71</v>
      </c>
      <c r="F19" s="7" t="s">
        <v>295</v>
      </c>
      <c r="G19" s="7">
        <f>Projects[[#This Row],[Activity Ref]]</f>
        <v>32</v>
      </c>
      <c r="H19" s="45" t="s">
        <v>272</v>
      </c>
      <c r="J19" s="2" t="str">
        <f>IF(OR(ISBLANK(Projects[[#This Row],[Task]]),Projects[[#This Row],[Task]]=0),"",CONCATENATE(Projects[[#This Row],[Phase]],Projects[[#This Row],[Task]]))</f>
        <v>3204</v>
      </c>
      <c r="K19" s="2" t="s">
        <v>214</v>
      </c>
      <c r="L19" s="7" t="s">
        <v>229</v>
      </c>
      <c r="M19" s="7"/>
      <c r="N19" s="7"/>
      <c r="O19" s="7" t="s">
        <v>292</v>
      </c>
      <c r="P19" s="7"/>
      <c r="Q19" s="7">
        <v>2025</v>
      </c>
      <c r="R19" s="2" t="s">
        <v>296</v>
      </c>
      <c r="S19" s="13">
        <f>Projects[[#This Row],[2026 Budget]]/2</f>
        <v>37500</v>
      </c>
      <c r="T19" s="2" t="s">
        <v>216</v>
      </c>
      <c r="U19" s="2" t="s">
        <v>232</v>
      </c>
      <c r="V19" s="40">
        <f t="shared" si="0"/>
        <v>230000</v>
      </c>
      <c r="W19" s="15"/>
      <c r="X19" s="17"/>
      <c r="Y19" s="17"/>
      <c r="Z19" s="2" t="s">
        <v>248</v>
      </c>
      <c r="AA19" s="40">
        <f t="shared" si="1"/>
        <v>230000</v>
      </c>
      <c r="AB19" s="40" t="str">
        <f>IFERROR(INDEX(#REF!,MATCH(#REF!,#REF!,0)),"")</f>
        <v/>
      </c>
      <c r="AC19" s="40" t="str">
        <f>IFERROR(INDEX(#REF!,MATCH(#REF!,#REF!,0)),"")</f>
        <v/>
      </c>
      <c r="AD19" s="13"/>
      <c r="AE19" s="20"/>
      <c r="AF19" s="237">
        <v>75000</v>
      </c>
      <c r="AG19" s="237">
        <v>125000</v>
      </c>
      <c r="AH19" s="237">
        <v>20000</v>
      </c>
      <c r="AI19" s="237">
        <v>10000</v>
      </c>
      <c r="AQ19" s="33">
        <f>SUM(Projects[[#This Row],[2024 Actual]],Projects[[#This Row],[2025 Actual ]])</f>
        <v>0</v>
      </c>
      <c r="AS19" s="173">
        <f>IF(Projects[[#This Row],[WRP Funding Allocated USD]]=0,"-",Projects[[#This Row],[Actual Spend USD]]/Projects[[#This Row],[WRP Funding Allocated USD]])</f>
        <v>0</v>
      </c>
      <c r="AY19" s="150" t="e">
        <f>Projects[[#This Row],[No. Action Completed]]/Projects[[#This Row],[No. Actions Identified]]</f>
        <v>#DIV/0!</v>
      </c>
      <c r="BC19" s="15"/>
      <c r="BD19" s="15"/>
      <c r="BE19" s="17" t="s">
        <v>297</v>
      </c>
      <c r="BF19" s="17" t="s">
        <v>297</v>
      </c>
      <c r="BG19" s="38">
        <v>0.02</v>
      </c>
      <c r="BH19" s="38">
        <v>0.02</v>
      </c>
      <c r="BI19" s="64" t="s">
        <v>221</v>
      </c>
      <c r="BJ19" s="64" t="s">
        <v>221</v>
      </c>
      <c r="BK19" s="151" t="s">
        <v>242</v>
      </c>
      <c r="BL19" s="151" t="s">
        <v>298</v>
      </c>
    </row>
    <row r="20" spans="1:64" ht="40.5" customHeight="1">
      <c r="A20" s="32">
        <f>INDEX('Implementation Plan V2 Sep25'!A:A,MATCH(E20,'Implementation Plan V2 Sep25'!F:F,0))</f>
        <v>1</v>
      </c>
      <c r="B20" s="33" t="str">
        <f>INDEX('Implementation Plan V2 Sep25'!C:C,MATCH(E20,'Implementation Plan V2 Sep25'!F:F,0))</f>
        <v>Output 1.1 WRP governance, management and financing mechanisms established, mandated and equipped to coordinate a Pacific-led, integrated, and sustainable programme</v>
      </c>
      <c r="C20" s="33" t="str">
        <f>INDEX('Implementation Plan V2 Sep25'!E:E,MATCH(E20,'Implementation Plan V2 Sep25'!F:F,0))</f>
        <v>1.1.3</v>
      </c>
      <c r="D20" s="33">
        <f>INDEX('Implementation Plan V2 Sep25'!D:D,MATCH(E20,'Implementation Plan V2 Sep25'!F:F,0))</f>
        <v>13</v>
      </c>
      <c r="E20" s="2" t="s">
        <v>22</v>
      </c>
      <c r="F20" s="2" t="s">
        <v>299</v>
      </c>
      <c r="G20" s="2">
        <f>Projects[[#This Row],[Activity Ref]]</f>
        <v>13</v>
      </c>
      <c r="H20" s="45" t="s">
        <v>285</v>
      </c>
      <c r="J20" s="2" t="str">
        <f>IF(OR(ISBLANK(Projects[[#This Row],[Task]]),Projects[[#This Row],[Task]]=0),"",CONCATENATE(Projects[[#This Row],[Phase]],Projects[[#This Row],[Task]]))</f>
        <v>1302</v>
      </c>
      <c r="K20" s="2" t="s">
        <v>224</v>
      </c>
      <c r="L20" s="2" t="s">
        <v>300</v>
      </c>
      <c r="O20" s="2" t="s">
        <v>230</v>
      </c>
      <c r="S20" s="13"/>
      <c r="T20" s="2" t="s">
        <v>216</v>
      </c>
      <c r="U20" s="2" t="s">
        <v>217</v>
      </c>
      <c r="V20" s="40">
        <f t="shared" si="0"/>
        <v>81434</v>
      </c>
      <c r="W20" s="2"/>
      <c r="X20" s="17">
        <v>3000</v>
      </c>
      <c r="Y20" s="17"/>
      <c r="Z20" s="2" t="s">
        <v>218</v>
      </c>
      <c r="AA20" s="40">
        <f t="shared" si="1"/>
        <v>78434</v>
      </c>
      <c r="AB20" s="40" t="str">
        <f>IFERROR(INDEX(#REF!,MATCH(#REF!,#REF!,0)),"")</f>
        <v/>
      </c>
      <c r="AC20" s="40" t="str">
        <f>IFERROR(INDEX(#REF!,MATCH(#REF!,#REF!,0)),"")</f>
        <v/>
      </c>
      <c r="AD20" s="13"/>
      <c r="AE20" s="59">
        <v>57948</v>
      </c>
      <c r="AF20" s="237">
        <v>20486</v>
      </c>
      <c r="AG20" s="13"/>
      <c r="AO20" s="13">
        <v>28905</v>
      </c>
      <c r="AP20" s="20">
        <v>57948</v>
      </c>
      <c r="AQ20" s="33">
        <f>SUM(Projects[[#This Row],[2024 Actual]],Projects[[#This Row],[2025 Actual ]])</f>
        <v>57948</v>
      </c>
      <c r="AS20" s="173">
        <f>IF(Projects[[#This Row],[WRP Funding Allocated USD]]=0,"-",Projects[[#This Row],[Actual Spend USD]]/Projects[[#This Row],[WRP Funding Allocated USD]])</f>
        <v>0.738812249789632</v>
      </c>
      <c r="AY20" s="150" t="e">
        <f>Projects[[#This Row],[No. Action Completed]]/Projects[[#This Row],[No. Actions Identified]]</f>
        <v>#DIV/0!</v>
      </c>
      <c r="BC20" s="15"/>
      <c r="BD20" s="15"/>
      <c r="BE20" s="17" t="s">
        <v>220</v>
      </c>
      <c r="BF20" s="17" t="s">
        <v>220</v>
      </c>
      <c r="BG20" s="38">
        <v>0.6</v>
      </c>
      <c r="BH20" s="38">
        <v>0.6</v>
      </c>
      <c r="BI20" s="64" t="s">
        <v>221</v>
      </c>
      <c r="BJ20" s="64" t="s">
        <v>221</v>
      </c>
      <c r="BK20" s="151" t="s">
        <v>242</v>
      </c>
      <c r="BL20" s="151" t="s">
        <v>301</v>
      </c>
    </row>
    <row r="21" spans="1:64" ht="51" customHeight="1">
      <c r="A21" s="32">
        <f>INDEX('Implementation Plan V2 Sep25'!A:A,MATCH(E21,'Implementation Plan V2 Sep25'!F:F,0))</f>
        <v>1</v>
      </c>
      <c r="B21" s="33" t="str">
        <f>INDEX('Implementation Plan V2 Sep25'!C:C,MATCH(E21,'Implementation Plan V2 Sep25'!F:F,0))</f>
        <v>Output 1.1 WRP governance, management and financing mechanisms established, mandated and equipped to coordinate a Pacific-led, integrated, and sustainable programme</v>
      </c>
      <c r="C21" s="33" t="str">
        <f>INDEX('Implementation Plan V2 Sep25'!E:E,MATCH(E21,'Implementation Plan V2 Sep25'!F:F,0))</f>
        <v>1.1.2</v>
      </c>
      <c r="D21" s="33">
        <f>INDEX('Implementation Plan V2 Sep25'!D:D,MATCH(E21,'Implementation Plan V2 Sep25'!F:F,0))</f>
        <v>12</v>
      </c>
      <c r="E21" s="2" t="s">
        <v>19</v>
      </c>
      <c r="F21" s="60" t="s">
        <v>302</v>
      </c>
      <c r="G21" s="60">
        <f>Projects[[#This Row],[Activity Ref]]</f>
        <v>12</v>
      </c>
      <c r="H21" s="45" t="s">
        <v>275</v>
      </c>
      <c r="J21" s="2" t="str">
        <f>IF(OR(ISBLANK(Projects[[#This Row],[Task]]),Projects[[#This Row],[Task]]=0),"",CONCATENATE(Projects[[#This Row],[Phase]],Projects[[#This Row],[Task]]))</f>
        <v>1203</v>
      </c>
      <c r="K21" s="2" t="s">
        <v>224</v>
      </c>
      <c r="L21" s="2" t="s">
        <v>229</v>
      </c>
      <c r="O21" s="2" t="s">
        <v>286</v>
      </c>
      <c r="S21" s="13"/>
      <c r="T21" s="2" t="s">
        <v>119</v>
      </c>
      <c r="U21" s="2" t="s">
        <v>232</v>
      </c>
      <c r="V21" s="40">
        <f t="shared" si="0"/>
        <v>16575.839999999997</v>
      </c>
      <c r="W21" s="2"/>
      <c r="X21" s="17"/>
      <c r="Y21" s="17"/>
      <c r="Z21" s="2" t="s">
        <v>233</v>
      </c>
      <c r="AA21" s="40">
        <f t="shared" si="1"/>
        <v>16575.839999999997</v>
      </c>
      <c r="AB21" s="40" t="str">
        <f>IFERROR(INDEX(#REF!,MATCH(#REF!,#REF!,0)),"")</f>
        <v/>
      </c>
      <c r="AC21" s="40" t="str">
        <f>IFERROR(INDEX(#REF!,MATCH(#REF!,#REF!,0)),"")</f>
        <v/>
      </c>
      <c r="AD21" s="19">
        <v>1508.18</v>
      </c>
      <c r="AE21" s="19">
        <v>15067.659999999996</v>
      </c>
      <c r="AF21" s="196"/>
      <c r="AG21" s="196"/>
      <c r="AH21" s="196"/>
      <c r="AI21" s="196"/>
      <c r="AN21" s="13">
        <v>1508.18</v>
      </c>
      <c r="AO21" s="13">
        <v>2915.16</v>
      </c>
      <c r="AP21" s="13">
        <f>Projects[[#This Row],[2025]]</f>
        <v>15067.659999999996</v>
      </c>
      <c r="AQ21" s="40">
        <f>SUM(Projects[[#This Row],[2024 Actual]],Projects[[#This Row],[2025 Actual ]])</f>
        <v>16575.839999999997</v>
      </c>
      <c r="AR21" s="40"/>
      <c r="AS21" s="173">
        <f>IF(Projects[[#This Row],[WRP Funding Allocated USD]]=0,"-",Projects[[#This Row],[Actual Spend USD]]/Projects[[#This Row],[WRP Funding Allocated USD]])</f>
        <v>1</v>
      </c>
      <c r="AY21" s="150" t="e">
        <f>Projects[[#This Row],[No. Action Completed]]/Projects[[#This Row],[No. Actions Identified]]</f>
        <v>#DIV/0!</v>
      </c>
      <c r="BC21" s="15"/>
      <c r="BD21" s="15"/>
      <c r="BE21" s="17" t="s">
        <v>220</v>
      </c>
      <c r="BF21" s="17" t="s">
        <v>220</v>
      </c>
      <c r="BG21" s="38">
        <v>0.2</v>
      </c>
      <c r="BH21" s="38">
        <v>0.2</v>
      </c>
      <c r="BI21" s="64" t="s">
        <v>221</v>
      </c>
      <c r="BJ21" s="64" t="s">
        <v>221</v>
      </c>
      <c r="BK21" s="151" t="s">
        <v>303</v>
      </c>
      <c r="BL21" s="151" t="s">
        <v>119</v>
      </c>
    </row>
    <row r="22" spans="1:64" ht="100.5" customHeight="1">
      <c r="A22" s="32">
        <f>INDEX('Implementation Plan V2 Sep25'!A:A,MATCH(E22,'Implementation Plan V2 Sep25'!F:F,0))</f>
        <v>3</v>
      </c>
      <c r="B22" s="33" t="str">
        <f>INDEX('Implementation Plan V2 Sep25'!C:C,MATCH(E22,'Implementation Plan V2 Sep25'!F:F,0))</f>
        <v>Output 3.1 Interoperable, affordable and resilient observation network progressively remediated, expanded and sustained</v>
      </c>
      <c r="C22" s="33" t="str">
        <f>INDEX('Implementation Plan V2 Sep25'!E:E,MATCH(E22,'Implementation Plan V2 Sep25'!F:F,0))</f>
        <v>3.1.5</v>
      </c>
      <c r="D22" s="33">
        <f>INDEX('Implementation Plan V2 Sep25'!D:D,MATCH(E22,'Implementation Plan V2 Sep25'!F:F,0))</f>
        <v>73</v>
      </c>
      <c r="E22" s="2" t="s">
        <v>83</v>
      </c>
      <c r="F22" s="2" t="s">
        <v>304</v>
      </c>
      <c r="G22" s="2">
        <f>Projects[[#This Row],[Activity Ref]]</f>
        <v>73</v>
      </c>
      <c r="H22" s="45" t="s">
        <v>238</v>
      </c>
      <c r="I22" s="2">
        <v>2510</v>
      </c>
      <c r="J22" s="2" t="str">
        <f>IF(OR(ISBLANK(Projects[[#This Row],[Task]]),Projects[[#This Row],[Task]]=0),"",CONCATENATE(Projects[[#This Row],[Phase]],Projects[[#This Row],[Task]]))</f>
        <v>7307</v>
      </c>
      <c r="K22" s="2" t="s">
        <v>214</v>
      </c>
      <c r="L22" s="2" t="s">
        <v>305</v>
      </c>
      <c r="O22" s="2" t="s">
        <v>292</v>
      </c>
      <c r="Q22" s="2">
        <v>2025</v>
      </c>
      <c r="R22" s="2" t="s">
        <v>306</v>
      </c>
      <c r="S22" s="13">
        <f>SUM(Projects[[#This Row],[2026 Budget]:[2029 Budget]])/2</f>
        <v>1687500</v>
      </c>
      <c r="T22" s="2" t="s">
        <v>307</v>
      </c>
      <c r="U22" s="2" t="s">
        <v>232</v>
      </c>
      <c r="V22" s="40">
        <f t="shared" si="0"/>
        <v>3375000</v>
      </c>
      <c r="W22" s="15"/>
      <c r="X22" s="17"/>
      <c r="Y22" s="17"/>
      <c r="Z22" s="2" t="s">
        <v>248</v>
      </c>
      <c r="AA22" s="40">
        <f t="shared" si="1"/>
        <v>3375000</v>
      </c>
      <c r="AB22" s="40" t="str">
        <f>IFERROR(INDEX(#REF!,MATCH(#REF!,#REF!,0)),"")</f>
        <v/>
      </c>
      <c r="AC22" s="40" t="str">
        <f>IFERROR(INDEX(#REF!,MATCH(#REF!,#REF!,0)),"")</f>
        <v/>
      </c>
      <c r="AD22" s="13"/>
      <c r="AE22" s="13"/>
      <c r="AF22" s="19">
        <f>3500000*0.57</f>
        <v>1994999.9999999998</v>
      </c>
      <c r="AG22" s="19">
        <v>1360000</v>
      </c>
      <c r="AH22" s="19">
        <v>10000</v>
      </c>
      <c r="AI22" s="19">
        <v>10000</v>
      </c>
      <c r="AJ22" s="19"/>
      <c r="AQ22" s="33">
        <f>SUM(Projects[[#This Row],[2024 Actual]],Projects[[#This Row],[2025 Actual ]])</f>
        <v>0</v>
      </c>
      <c r="AS22" s="173">
        <f>IF(Projects[[#This Row],[WRP Funding Allocated USD]]=0,"-",Projects[[#This Row],[Actual Spend USD]]/Projects[[#This Row],[WRP Funding Allocated USD]])</f>
        <v>0</v>
      </c>
      <c r="AY22" s="150" t="e">
        <f>Projects[[#This Row],[No. Action Completed]]/Projects[[#This Row],[No. Actions Identified]]</f>
        <v>#DIV/0!</v>
      </c>
      <c r="BC22" s="15"/>
      <c r="BD22" s="15"/>
      <c r="BE22" s="17" t="s">
        <v>235</v>
      </c>
      <c r="BF22" s="17" t="s">
        <v>235</v>
      </c>
      <c r="BG22" s="38">
        <v>0.1</v>
      </c>
      <c r="BH22" s="38">
        <v>0.1</v>
      </c>
      <c r="BI22" s="64" t="s">
        <v>221</v>
      </c>
      <c r="BJ22" s="64" t="s">
        <v>221</v>
      </c>
      <c r="BK22" s="151" t="s">
        <v>242</v>
      </c>
      <c r="BL22" s="151" t="s">
        <v>308</v>
      </c>
    </row>
    <row r="23" spans="1:64" ht="48.75" customHeight="1">
      <c r="A23" s="32">
        <f>INDEX('Implementation Plan V2 Sep25'!A:A,MATCH(E23,'Implementation Plan V2 Sep25'!F:F,0))</f>
        <v>3</v>
      </c>
      <c r="B23" s="33" t="str">
        <f>INDEX('Implementation Plan V2 Sep25'!C:C,MATCH(E23,'Implementation Plan V2 Sep25'!F:F,0))</f>
        <v>Output 3.1 Interoperable, affordable and resilient observation network progressively remediated, expanded and sustained</v>
      </c>
      <c r="C23" s="33" t="str">
        <f>INDEX('Implementation Plan V2 Sep25'!E:E,MATCH(E23,'Implementation Plan V2 Sep25'!F:F,0))</f>
        <v>3.1.5</v>
      </c>
      <c r="D23" s="33">
        <f>INDEX('Implementation Plan V2 Sep25'!D:D,MATCH(E23,'Implementation Plan V2 Sep25'!F:F,0))</f>
        <v>73</v>
      </c>
      <c r="E23" s="2" t="s">
        <v>83</v>
      </c>
      <c r="F23" s="2" t="s">
        <v>309</v>
      </c>
      <c r="G23" s="2"/>
      <c r="H23" s="45"/>
      <c r="J23" s="2" t="str">
        <f>IF(OR(ISBLANK(Projects[[#This Row],[Task]]),Projects[[#This Row],[Task]]=0),"",CONCATENATE(Projects[[#This Row],[Phase]],Projects[[#This Row],[Task]]))</f>
        <v/>
      </c>
      <c r="K23" s="2" t="s">
        <v>310</v>
      </c>
      <c r="L23" s="2" t="s">
        <v>280</v>
      </c>
      <c r="S23" s="13"/>
      <c r="T23" s="2" t="s">
        <v>311</v>
      </c>
      <c r="V23" s="40">
        <f t="shared" si="0"/>
        <v>2000000</v>
      </c>
      <c r="W23" s="15" t="s">
        <v>248</v>
      </c>
      <c r="X23" s="17">
        <v>2000000</v>
      </c>
      <c r="Y23" s="17"/>
      <c r="AA23" s="40">
        <f t="shared" si="1"/>
        <v>0</v>
      </c>
      <c r="AB23" s="40" t="str">
        <f>IFERROR(INDEX(#REF!,MATCH(#REF!,#REF!,0)),"")</f>
        <v/>
      </c>
      <c r="AC23" s="40" t="str">
        <f>IFERROR(INDEX(#REF!,MATCH(#REF!,#REF!,0)),"")</f>
        <v/>
      </c>
      <c r="AD23" s="13"/>
      <c r="AE23" s="13"/>
      <c r="AF23" s="19"/>
      <c r="AG23" s="19"/>
      <c r="AH23" s="19"/>
      <c r="AI23" s="19"/>
      <c r="AJ23" s="19"/>
      <c r="AK23" s="19"/>
      <c r="AQ23" s="33">
        <f>SUM(Projects[[#This Row],[2024 Actual]],Projects[[#This Row],[2025 Actual ]])</f>
        <v>0</v>
      </c>
      <c r="AS23" s="173" t="str">
        <f>IF(Projects[[#This Row],[WRP Funding Allocated USD]]=0,"-",Projects[[#This Row],[Actual Spend USD]]/Projects[[#This Row],[WRP Funding Allocated USD]])</f>
        <v>-</v>
      </c>
      <c r="AY23" s="150" t="e">
        <f>Projects[[#This Row],[No. Action Completed]]/Projects[[#This Row],[No. Actions Identified]]</f>
        <v>#DIV/0!</v>
      </c>
      <c r="BC23" s="15"/>
      <c r="BD23" s="15"/>
      <c r="BE23" s="17"/>
      <c r="BF23" s="17"/>
      <c r="BG23" s="38" t="s">
        <v>119</v>
      </c>
      <c r="BH23" s="38" t="s">
        <v>119</v>
      </c>
      <c r="BI23" s="64" t="s">
        <v>119</v>
      </c>
      <c r="BJ23" s="64" t="s">
        <v>119</v>
      </c>
      <c r="BK23" s="17" t="s">
        <v>242</v>
      </c>
      <c r="BL23" s="17" t="s">
        <v>312</v>
      </c>
    </row>
    <row r="24" spans="1:64" ht="40.5" customHeight="1">
      <c r="A24" s="32">
        <f>INDEX('Implementation Plan V2 Sep25'!A:A,MATCH(E24,'Implementation Plan V2 Sep25'!F:F,0))</f>
        <v>3</v>
      </c>
      <c r="B24" s="33" t="str">
        <f>INDEX('Implementation Plan V2 Sep25'!C:C,MATCH(E24,'Implementation Plan V2 Sep25'!F:F,0))</f>
        <v>Output 3.1 Interoperable, affordable and resilient observation network progressively remediated, expanded and sustained</v>
      </c>
      <c r="C24" s="33" t="str">
        <f>INDEX('Implementation Plan V2 Sep25'!E:E,MATCH(E24,'Implementation Plan V2 Sep25'!F:F,0))</f>
        <v>3.1.5</v>
      </c>
      <c r="D24" s="33">
        <f>INDEX('Implementation Plan V2 Sep25'!D:D,MATCH(E24,'Implementation Plan V2 Sep25'!F:F,0))</f>
        <v>73</v>
      </c>
      <c r="E24" s="2" t="s">
        <v>83</v>
      </c>
      <c r="F24" s="2" t="s">
        <v>313</v>
      </c>
      <c r="G24" s="2"/>
      <c r="H24" s="45"/>
      <c r="J24" s="2" t="str">
        <f>IF(OR(ISBLANK(Projects[[#This Row],[Task]]),Projects[[#This Row],[Task]]=0),"",CONCATENATE(Projects[[#This Row],[Phase]],Projects[[#This Row],[Task]]))</f>
        <v/>
      </c>
      <c r="K24" s="2" t="s">
        <v>310</v>
      </c>
      <c r="L24" s="2" t="s">
        <v>314</v>
      </c>
      <c r="S24" s="13"/>
      <c r="V24" s="40">
        <f t="shared" si="0"/>
        <v>12500000</v>
      </c>
      <c r="W24" s="15" t="s">
        <v>315</v>
      </c>
      <c r="X24" s="18">
        <f>2500000*5</f>
        <v>12500000</v>
      </c>
      <c r="Y24" s="18"/>
      <c r="AA24" s="40">
        <f t="shared" si="1"/>
        <v>0</v>
      </c>
      <c r="AB24" s="40" t="str">
        <f>IFERROR(INDEX(#REF!,MATCH(#REF!,#REF!,0)),"")</f>
        <v/>
      </c>
      <c r="AC24" s="40" t="str">
        <f>IFERROR(INDEX(#REF!,MATCH(#REF!,#REF!,0)),"")</f>
        <v/>
      </c>
      <c r="AD24" s="13"/>
      <c r="AE24" s="13"/>
      <c r="AF24" s="13"/>
      <c r="AG24" s="13"/>
      <c r="AQ24" s="33">
        <f>SUM(Projects[[#This Row],[2024 Actual]],Projects[[#This Row],[2025 Actual ]])</f>
        <v>0</v>
      </c>
      <c r="AS24" s="173" t="str">
        <f>IF(Projects[[#This Row],[WRP Funding Allocated USD]]=0,"-",Projects[[#This Row],[Actual Spend USD]]/Projects[[#This Row],[WRP Funding Allocated USD]])</f>
        <v>-</v>
      </c>
      <c r="AY24" s="150" t="e">
        <f>Projects[[#This Row],[No. Action Completed]]/Projects[[#This Row],[No. Actions Identified]]</f>
        <v>#DIV/0!</v>
      </c>
      <c r="BC24" s="15"/>
      <c r="BD24" s="15"/>
      <c r="BE24" s="17"/>
      <c r="BF24" s="17"/>
      <c r="BG24" s="38" t="s">
        <v>119</v>
      </c>
      <c r="BH24" s="38" t="s">
        <v>119</v>
      </c>
      <c r="BI24" s="64" t="s">
        <v>119</v>
      </c>
      <c r="BJ24" s="64" t="s">
        <v>119</v>
      </c>
      <c r="BK24" s="17" t="s">
        <v>242</v>
      </c>
      <c r="BL24" s="17" t="s">
        <v>119</v>
      </c>
    </row>
    <row r="25" spans="1:64" ht="40.5" customHeight="1">
      <c r="A25" s="32">
        <f>INDEX('Implementation Plan V2 Sep25'!A:A,MATCH(E25,'Implementation Plan V2 Sep25'!F:F,0))</f>
        <v>3</v>
      </c>
      <c r="B25" s="33" t="str">
        <f>INDEX('Implementation Plan V2 Sep25'!C:C,MATCH(E25,'Implementation Plan V2 Sep25'!F:F,0))</f>
        <v>Output 3.1 Interoperable, affordable and resilient observation network progressively remediated, expanded and sustained</v>
      </c>
      <c r="C25" s="33" t="str">
        <f>INDEX('Implementation Plan V2 Sep25'!E:E,MATCH(E25,'Implementation Plan V2 Sep25'!F:F,0))</f>
        <v>3.1.5</v>
      </c>
      <c r="D25" s="33">
        <f>INDEX('Implementation Plan V2 Sep25'!D:D,MATCH(E25,'Implementation Plan V2 Sep25'!F:F,0))</f>
        <v>73</v>
      </c>
      <c r="E25" s="2" t="s">
        <v>83</v>
      </c>
      <c r="F25" s="2" t="s">
        <v>316</v>
      </c>
      <c r="G25" s="2">
        <f>Projects[[#This Row],[Activity Ref]]</f>
        <v>73</v>
      </c>
      <c r="H25" s="45" t="s">
        <v>285</v>
      </c>
      <c r="J25" s="2" t="str">
        <f>IF(OR(ISBLANK(Projects[[#This Row],[Task]]),Projects[[#This Row],[Task]]=0),"",CONCATENATE(Projects[[#This Row],[Phase]],Projects[[#This Row],[Task]]))</f>
        <v>7302</v>
      </c>
      <c r="K25" s="2" t="s">
        <v>214</v>
      </c>
      <c r="L25" s="2" t="s">
        <v>229</v>
      </c>
      <c r="S25" s="13"/>
      <c r="T25" s="2" t="s">
        <v>317</v>
      </c>
      <c r="V25" s="40">
        <f t="shared" si="0"/>
        <v>0</v>
      </c>
      <c r="W25" s="15"/>
      <c r="X25" s="17"/>
      <c r="Y25" s="17"/>
      <c r="Z25" s="2" t="s">
        <v>248</v>
      </c>
      <c r="AA25" s="40">
        <f t="shared" si="1"/>
        <v>0</v>
      </c>
      <c r="AB25" s="40" t="str">
        <f>IFERROR(INDEX(#REF!,MATCH(#REF!,#REF!,0)),"")</f>
        <v/>
      </c>
      <c r="AC25" s="40" t="str">
        <f>IFERROR(INDEX(#REF!,MATCH(#REF!,#REF!,0)),"")</f>
        <v/>
      </c>
      <c r="AD25" s="13"/>
      <c r="AE25" s="13"/>
      <c r="AF25" s="13"/>
      <c r="AG25" s="19"/>
      <c r="AH25" s="19"/>
      <c r="AI25" s="19"/>
      <c r="AJ25" s="19"/>
      <c r="AK25" s="19"/>
      <c r="AQ25" s="33">
        <f>SUM(Projects[[#This Row],[2024 Actual]],Projects[[#This Row],[2025 Actual ]])</f>
        <v>0</v>
      </c>
      <c r="AS25" s="173" t="str">
        <f>IF(Projects[[#This Row],[WRP Funding Allocated USD]]=0,"-",Projects[[#This Row],[Actual Spend USD]]/Projects[[#This Row],[WRP Funding Allocated USD]])</f>
        <v>-</v>
      </c>
      <c r="AY25" s="150" t="e">
        <f>Projects[[#This Row],[No. Action Completed]]/Projects[[#This Row],[No. Actions Identified]]</f>
        <v>#DIV/0!</v>
      </c>
      <c r="BC25" s="15"/>
      <c r="BD25" s="15"/>
      <c r="BE25" s="17" t="s">
        <v>249</v>
      </c>
      <c r="BF25" s="17" t="s">
        <v>249</v>
      </c>
      <c r="BG25" s="38">
        <v>0</v>
      </c>
      <c r="BH25" s="38">
        <v>0</v>
      </c>
      <c r="BI25" s="64" t="s">
        <v>119</v>
      </c>
      <c r="BJ25" s="64" t="s">
        <v>119</v>
      </c>
      <c r="BK25" s="17" t="s">
        <v>242</v>
      </c>
      <c r="BL25" s="17" t="s">
        <v>119</v>
      </c>
    </row>
    <row r="26" spans="1:64" ht="47.65" customHeight="1">
      <c r="A26" s="32">
        <f>INDEX('Implementation Plan V2 Sep25'!A:A,MATCH(E26,'Implementation Plan V2 Sep25'!F:F,0))</f>
        <v>3</v>
      </c>
      <c r="B26" s="33" t="str">
        <f>INDEX('Implementation Plan V2 Sep25'!C:C,MATCH(E26,'Implementation Plan V2 Sep25'!F:F,0))</f>
        <v>Output 3.1 Interoperable, affordable and resilient observation network progressively remediated, expanded and sustained</v>
      </c>
      <c r="C26" s="33" t="str">
        <f>INDEX('Implementation Plan V2 Sep25'!E:E,MATCH(E26,'Implementation Plan V2 Sep25'!F:F,0))</f>
        <v>3.1.5</v>
      </c>
      <c r="D26" s="33">
        <f>INDEX('Implementation Plan V2 Sep25'!D:D,MATCH(E26,'Implementation Plan V2 Sep25'!F:F,0))</f>
        <v>73</v>
      </c>
      <c r="E26" s="2" t="s">
        <v>83</v>
      </c>
      <c r="F26" s="2" t="s">
        <v>318</v>
      </c>
      <c r="G26" s="2">
        <f>Projects[[#This Row],[Activity Ref]]</f>
        <v>73</v>
      </c>
      <c r="H26" s="45" t="s">
        <v>275</v>
      </c>
      <c r="J26" s="2" t="str">
        <f>IF(OR(ISBLANK(Projects[[#This Row],[Task]]),Projects[[#This Row],[Task]]=0),"",CONCATENATE(Projects[[#This Row],[Phase]],Projects[[#This Row],[Task]]))</f>
        <v>7303</v>
      </c>
      <c r="K26" s="2" t="s">
        <v>214</v>
      </c>
      <c r="L26" s="2" t="s">
        <v>229</v>
      </c>
      <c r="S26" s="13"/>
      <c r="T26" s="2" t="s">
        <v>319</v>
      </c>
      <c r="V26" s="40">
        <f t="shared" si="0"/>
        <v>0</v>
      </c>
      <c r="W26" s="15"/>
      <c r="X26" s="17"/>
      <c r="Y26" s="17"/>
      <c r="Z26" s="2" t="s">
        <v>248</v>
      </c>
      <c r="AA26" s="40">
        <f t="shared" si="1"/>
        <v>0</v>
      </c>
      <c r="AB26" s="40" t="str">
        <f>IFERROR(INDEX(#REF!,MATCH(#REF!,#REF!,0)),"")</f>
        <v/>
      </c>
      <c r="AC26" s="40" t="str">
        <f>IFERROR(INDEX(#REF!,MATCH(#REF!,#REF!,0)),"")</f>
        <v/>
      </c>
      <c r="AD26" s="13"/>
      <c r="AE26" s="13"/>
      <c r="AF26" s="13"/>
      <c r="AG26" s="13"/>
      <c r="AH26" s="19"/>
      <c r="AI26" s="19"/>
      <c r="AJ26" s="19"/>
      <c r="AK26" s="19"/>
      <c r="AL26" s="19"/>
      <c r="AQ26" s="33">
        <f>SUM(Projects[[#This Row],[2024 Actual]],Projects[[#This Row],[2025 Actual ]])</f>
        <v>0</v>
      </c>
      <c r="AS26" s="173" t="str">
        <f>IF(Projects[[#This Row],[WRP Funding Allocated USD]]=0,"-",Projects[[#This Row],[Actual Spend USD]]/Projects[[#This Row],[WRP Funding Allocated USD]])</f>
        <v>-</v>
      </c>
      <c r="AY26" s="150" t="e">
        <f>Projects[[#This Row],[No. Action Completed]]/Projects[[#This Row],[No. Actions Identified]]</f>
        <v>#DIV/0!</v>
      </c>
      <c r="BC26" s="15"/>
      <c r="BD26" s="15"/>
      <c r="BE26" s="17" t="s">
        <v>249</v>
      </c>
      <c r="BF26" s="17" t="s">
        <v>249</v>
      </c>
      <c r="BG26" s="38">
        <v>0</v>
      </c>
      <c r="BH26" s="38">
        <v>0</v>
      </c>
      <c r="BI26" s="64" t="s">
        <v>119</v>
      </c>
      <c r="BJ26" s="64" t="s">
        <v>119</v>
      </c>
      <c r="BK26" s="17" t="s">
        <v>242</v>
      </c>
      <c r="BL26" s="17" t="s">
        <v>119</v>
      </c>
    </row>
    <row r="27" spans="1:64" ht="49.5" customHeight="1">
      <c r="A27" s="32">
        <f>INDEX('Implementation Plan V2 Sep25'!A:A,MATCH(E27,'Implementation Plan V2 Sep25'!F:F,0))</f>
        <v>2</v>
      </c>
      <c r="B27" s="33" t="str">
        <f>INDEX('Implementation Plan V2 Sep25'!C:C,MATCH(E27,'Implementation Plan V2 Sep25'!F:F,0))</f>
        <v>OP2.1 WMO-designated Pacific Regional Training Centre established and sustainably managed</v>
      </c>
      <c r="C27" s="33" t="str">
        <f>INDEX('Implementation Plan V2 Sep25'!E:E,MATCH(E27,'Implementation Plan V2 Sep25'!F:F,0))</f>
        <v>2.1.1</v>
      </c>
      <c r="D27" s="33">
        <f>INDEX('Implementation Plan V2 Sep25'!D:D,MATCH(E27,'Implementation Plan V2 Sep25'!F:F,0))</f>
        <v>21</v>
      </c>
      <c r="E27" s="2" t="s">
        <v>43</v>
      </c>
      <c r="F27" s="2" t="s">
        <v>320</v>
      </c>
      <c r="G27" s="2">
        <f>Projects[[#This Row],[Activity Ref]]</f>
        <v>21</v>
      </c>
      <c r="H27" s="45" t="s">
        <v>285</v>
      </c>
      <c r="J27" s="2" t="str">
        <f>IF(OR(ISBLANK(Projects[[#This Row],[Task]]),Projects[[#This Row],[Task]]=0),"",CONCATENATE(Projects[[#This Row],[Phase]],Projects[[#This Row],[Task]]))</f>
        <v>2102</v>
      </c>
      <c r="K27" s="2" t="s">
        <v>224</v>
      </c>
      <c r="L27" s="2" t="s">
        <v>229</v>
      </c>
      <c r="O27" s="2" t="s">
        <v>230</v>
      </c>
      <c r="S27" s="13"/>
      <c r="T27" s="2" t="s">
        <v>216</v>
      </c>
      <c r="U27" s="2" t="s">
        <v>232</v>
      </c>
      <c r="V27" s="40">
        <f t="shared" si="0"/>
        <v>64228.479999999996</v>
      </c>
      <c r="W27" s="15"/>
      <c r="X27" s="17"/>
      <c r="Y27" s="17"/>
      <c r="Z27" s="2" t="s">
        <v>233</v>
      </c>
      <c r="AA27" s="40">
        <f t="shared" si="1"/>
        <v>64228.479999999996</v>
      </c>
      <c r="AB27" s="40" t="str">
        <f>IFERROR(INDEX(#REF!,MATCH(#REF!,#REF!,0)),"")</f>
        <v/>
      </c>
      <c r="AC27" s="40" t="str">
        <f>IFERROR(INDEX(#REF!,MATCH(#REF!,#REF!,0)),"")</f>
        <v/>
      </c>
      <c r="AD27" s="13"/>
      <c r="AE27" s="19">
        <v>64228.479999999996</v>
      </c>
      <c r="AF27" s="13"/>
      <c r="AG27" s="13"/>
      <c r="AP27" s="13">
        <f>Projects[[#This Row],[2025]]</f>
        <v>64228.479999999996</v>
      </c>
      <c r="AQ27" s="33">
        <f>SUM(Projects[[#This Row],[2024 Actual]],Projects[[#This Row],[2025 Actual ]])</f>
        <v>64228.479999999996</v>
      </c>
      <c r="AS27" s="173">
        <f>IF(Projects[[#This Row],[WRP Funding Allocated USD]]=0,"-",Projects[[#This Row],[Actual Spend USD]]/Projects[[#This Row],[WRP Funding Allocated USD]])</f>
        <v>1</v>
      </c>
      <c r="AY27" s="150" t="e">
        <f>Projects[[#This Row],[No. Action Completed]]/Projects[[#This Row],[No. Actions Identified]]</f>
        <v>#DIV/0!</v>
      </c>
      <c r="BC27" s="15"/>
      <c r="BD27" s="15"/>
      <c r="BE27" s="17" t="s">
        <v>241</v>
      </c>
      <c r="BF27" s="17" t="s">
        <v>220</v>
      </c>
      <c r="BG27" s="38">
        <v>0.95</v>
      </c>
      <c r="BH27" s="38">
        <v>0.8</v>
      </c>
      <c r="BI27" s="64" t="s">
        <v>221</v>
      </c>
      <c r="BJ27" s="64" t="s">
        <v>221</v>
      </c>
      <c r="BK27" s="151" t="s">
        <v>321</v>
      </c>
      <c r="BL27" s="151" t="s">
        <v>322</v>
      </c>
    </row>
    <row r="28" spans="1:64" ht="54.6" customHeight="1">
      <c r="A28" s="32">
        <f>INDEX('Implementation Plan V2 Sep25'!A:A,MATCH(E28,'Implementation Plan V2 Sep25'!F:F,0))</f>
        <v>2</v>
      </c>
      <c r="B28" s="33" t="str">
        <f>INDEX('Implementation Plan V2 Sep25'!C:C,MATCH(E28,'Implementation Plan V2 Sep25'!F:F,0))</f>
        <v>OP2.2 Inclusive leadership and technical capability strengthening programmes established and delivering ongoing training to industry standards</v>
      </c>
      <c r="C28" s="33" t="str">
        <f>INDEX('Implementation Plan V2 Sep25'!E:E,MATCH(E28,'Implementation Plan V2 Sep25'!F:F,0))</f>
        <v>2.2.1</v>
      </c>
      <c r="D28" s="33">
        <f>INDEX('Implementation Plan V2 Sep25'!D:D,MATCH(E28,'Implementation Plan V2 Sep25'!F:F,0))</f>
        <v>22</v>
      </c>
      <c r="E28" s="2" t="s">
        <v>47</v>
      </c>
      <c r="F28" s="2" t="s">
        <v>323</v>
      </c>
      <c r="G28" s="2">
        <f>Projects[[#This Row],[Activity Ref]]</f>
        <v>22</v>
      </c>
      <c r="H28" s="45" t="s">
        <v>285</v>
      </c>
      <c r="J28" s="2" t="str">
        <f>IF(OR(ISBLANK(Projects[[#This Row],[Task]]),Projects[[#This Row],[Task]]=0),"",CONCATENATE(Projects[[#This Row],[Phase]],Projects[[#This Row],[Task]]))</f>
        <v>2202</v>
      </c>
      <c r="K28" s="2" t="s">
        <v>214</v>
      </c>
      <c r="L28" s="2" t="s">
        <v>215</v>
      </c>
      <c r="O28" s="2" t="s">
        <v>251</v>
      </c>
      <c r="S28" s="13"/>
      <c r="T28" s="60" t="s">
        <v>324</v>
      </c>
      <c r="U28" s="2" t="s">
        <v>217</v>
      </c>
      <c r="V28" s="40">
        <f t="shared" si="0"/>
        <v>219240</v>
      </c>
      <c r="W28" s="15"/>
      <c r="X28" s="17"/>
      <c r="Y28" s="17"/>
      <c r="Z28" s="2" t="s">
        <v>218</v>
      </c>
      <c r="AA28" s="40">
        <f t="shared" si="1"/>
        <v>219240</v>
      </c>
      <c r="AB28" s="40" t="str">
        <f>IFERROR(INDEX(#REF!,MATCH(#REF!,#REF!,0)),"")</f>
        <v/>
      </c>
      <c r="AC28" s="40" t="str">
        <f>IFERROR(INDEX(#REF!,MATCH(#REF!,#REF!,0)),"")</f>
        <v/>
      </c>
      <c r="AD28" s="20">
        <v>7195</v>
      </c>
      <c r="AE28" s="237">
        <v>202272</v>
      </c>
      <c r="AF28" s="237">
        <f>219240-Projects[[#This Row],[2024]]-Projects[[#This Row],[2025]]</f>
        <v>9773</v>
      </c>
      <c r="AG28" s="13"/>
      <c r="AN28" s="20">
        <v>7185.62</v>
      </c>
      <c r="AO28" s="13">
        <v>155266</v>
      </c>
      <c r="AP28" s="237">
        <f>202272</f>
        <v>202272</v>
      </c>
      <c r="AQ28" s="40">
        <f>SUM(Projects[[#This Row],[2024 Actual]],Projects[[#This Row],[2025 Actual ]])</f>
        <v>209457.62</v>
      </c>
      <c r="AS28" s="173">
        <f>IF(Projects[[#This Row],[WRP Funding Allocated USD]]=0,"-",Projects[[#This Row],[Actual Spend USD]]/Projects[[#This Row],[WRP Funding Allocated USD]])</f>
        <v>0.95538049625980659</v>
      </c>
      <c r="AY28" s="150" t="e">
        <f>Projects[[#This Row],[No. Action Completed]]/Projects[[#This Row],[No. Actions Identified]]</f>
        <v>#DIV/0!</v>
      </c>
      <c r="BC28" s="15"/>
      <c r="BD28" s="15"/>
      <c r="BE28" s="17" t="s">
        <v>220</v>
      </c>
      <c r="BF28" s="17" t="s">
        <v>220</v>
      </c>
      <c r="BG28" s="38">
        <v>0.5</v>
      </c>
      <c r="BH28" s="38">
        <v>0.5</v>
      </c>
      <c r="BI28" s="64" t="s">
        <v>221</v>
      </c>
      <c r="BJ28" s="64" t="s">
        <v>221</v>
      </c>
      <c r="BK28" s="151" t="s">
        <v>325</v>
      </c>
      <c r="BL28" s="151" t="s">
        <v>119</v>
      </c>
    </row>
    <row r="29" spans="1:64" ht="55.5" customHeight="1">
      <c r="A29" s="32">
        <f>INDEX('Implementation Plan V2 Sep25'!A:A,MATCH(E29,'Implementation Plan V2 Sep25'!F:F,0))</f>
        <v>1</v>
      </c>
      <c r="B29" s="33" t="str">
        <f>INDEX('Implementation Plan V2 Sep25'!C:C,MATCH(E29,'Implementation Plan V2 Sep25'!F:F,0))</f>
        <v>Output 1.1 WRP governance, management and financing mechanisms established, mandated and equipped to coordinate a Pacific-led, integrated, and sustainable programme</v>
      </c>
      <c r="C29" s="33" t="str">
        <f>INDEX('Implementation Plan V2 Sep25'!E:E,MATCH(E29,'Implementation Plan V2 Sep25'!F:F,0))</f>
        <v>1.1.1</v>
      </c>
      <c r="D29" s="33">
        <f>INDEX('Implementation Plan V2 Sep25'!D:D,MATCH(E29,'Implementation Plan V2 Sep25'!F:F,0))</f>
        <v>11</v>
      </c>
      <c r="E29" s="2" t="s">
        <v>16</v>
      </c>
      <c r="F29" s="2" t="s">
        <v>326</v>
      </c>
      <c r="G29" s="2">
        <f>Projects[[#This Row],[Activity Ref]]</f>
        <v>11</v>
      </c>
      <c r="H29" s="45" t="s">
        <v>272</v>
      </c>
      <c r="J29" s="2" t="str">
        <f>IF(OR(ISBLANK(Projects[[#This Row],[Task]]),Projects[[#This Row],[Task]]=0),"",CONCATENATE(Projects[[#This Row],[Phase]],Projects[[#This Row],[Task]]))</f>
        <v>1104</v>
      </c>
      <c r="K29" s="2" t="s">
        <v>224</v>
      </c>
      <c r="L29" s="2" t="s">
        <v>229</v>
      </c>
      <c r="O29" s="2" t="s">
        <v>230</v>
      </c>
      <c r="S29" s="13"/>
      <c r="T29" s="2" t="s">
        <v>216</v>
      </c>
      <c r="U29" s="2" t="s">
        <v>217</v>
      </c>
      <c r="V29" s="40">
        <f t="shared" si="0"/>
        <v>75000</v>
      </c>
      <c r="W29" s="15"/>
      <c r="X29" s="17"/>
      <c r="Y29" s="17"/>
      <c r="Z29" s="2" t="s">
        <v>327</v>
      </c>
      <c r="AA29" s="40">
        <f t="shared" si="1"/>
        <v>75000</v>
      </c>
      <c r="AB29" s="40" t="str">
        <f>IFERROR(INDEX(#REF!,MATCH(#REF!,#REF!,0)),"")</f>
        <v/>
      </c>
      <c r="AC29" s="40" t="str">
        <f>IFERROR(INDEX(#REF!,MATCH(#REF!,#REF!,0)),"")</f>
        <v/>
      </c>
      <c r="AD29" s="13"/>
      <c r="AE29" s="13">
        <v>75000</v>
      </c>
      <c r="AF29" s="13"/>
      <c r="AG29" s="13"/>
      <c r="AO29" s="13">
        <f>Projects[[#This Row],[2025]]</f>
        <v>75000</v>
      </c>
      <c r="AQ29" s="33">
        <f>SUM(Projects[[#This Row],[2024 Actual]],Projects[[#This Row],[2025 Actual ]])</f>
        <v>0</v>
      </c>
      <c r="AS29" s="173">
        <f>IF(Projects[[#This Row],[WRP Funding Allocated USD]]=0,"-",Projects[[#This Row],[Actual Spend USD]]/Projects[[#This Row],[WRP Funding Allocated USD]])</f>
        <v>0</v>
      </c>
      <c r="AY29" s="150" t="e">
        <f>Projects[[#This Row],[No. Action Completed]]/Projects[[#This Row],[No. Actions Identified]]</f>
        <v>#DIV/0!</v>
      </c>
      <c r="BC29" s="15"/>
      <c r="BD29" s="15"/>
      <c r="BE29" s="17" t="s">
        <v>220</v>
      </c>
      <c r="BF29" s="17" t="s">
        <v>220</v>
      </c>
      <c r="BG29" s="38">
        <v>0.8</v>
      </c>
      <c r="BH29" s="38">
        <v>0.8</v>
      </c>
      <c r="BI29" s="64" t="s">
        <v>221</v>
      </c>
      <c r="BJ29" s="64" t="s">
        <v>221</v>
      </c>
      <c r="BK29" s="151" t="s">
        <v>242</v>
      </c>
      <c r="BL29" s="151" t="s">
        <v>328</v>
      </c>
    </row>
    <row r="30" spans="1:64" ht="66.75" customHeight="1">
      <c r="A30" s="32">
        <f>INDEX('Implementation Plan V2 Sep25'!A:A,MATCH(E30,'Implementation Plan V2 Sep25'!F:F,0))</f>
        <v>3</v>
      </c>
      <c r="B30" s="33" t="str">
        <f>INDEX('Implementation Plan V2 Sep25'!C:C,MATCH(E30,'Implementation Plan V2 Sep25'!F:F,0))</f>
        <v>Output 3.2 WMO-designated Pacific Regional Instrument Centre established and sustainably managed</v>
      </c>
      <c r="C30" s="33" t="str">
        <f>INDEX('Implementation Plan V2 Sep25'!E:E,MATCH(E30,'Implementation Plan V2 Sep25'!F:F,0))</f>
        <v>3.2.1</v>
      </c>
      <c r="D30" s="33">
        <f>INDEX('Implementation Plan V2 Sep25'!D:D,MATCH(E30,'Implementation Plan V2 Sep25'!F:F,0))</f>
        <v>31</v>
      </c>
      <c r="E30" s="2" t="s">
        <v>67</v>
      </c>
      <c r="F30" s="2" t="s">
        <v>329</v>
      </c>
      <c r="G30" s="2">
        <f>Projects[[#This Row],[Activity Ref]]</f>
        <v>31</v>
      </c>
      <c r="H30" s="45" t="s">
        <v>285</v>
      </c>
      <c r="J30" s="2" t="str">
        <f>IF(OR(ISBLANK(Projects[[#This Row],[Task]]),Projects[[#This Row],[Task]]=0),"",CONCATENATE(Projects[[#This Row],[Phase]],Projects[[#This Row],[Task]]))</f>
        <v>3102</v>
      </c>
      <c r="K30" s="2" t="s">
        <v>224</v>
      </c>
      <c r="L30" s="60" t="s">
        <v>229</v>
      </c>
      <c r="M30" s="60"/>
      <c r="N30" s="60"/>
      <c r="O30" s="60" t="s">
        <v>251</v>
      </c>
      <c r="P30" s="60"/>
      <c r="Q30" s="2">
        <v>2025</v>
      </c>
      <c r="R30" s="2" t="s">
        <v>330</v>
      </c>
      <c r="S30" s="13"/>
      <c r="T30" s="2" t="s">
        <v>331</v>
      </c>
      <c r="U30" s="2" t="s">
        <v>232</v>
      </c>
      <c r="V30" s="40">
        <f t="shared" si="0"/>
        <v>50504.34782608696</v>
      </c>
      <c r="W30" s="15"/>
      <c r="X30" s="17"/>
      <c r="Y30" s="17"/>
      <c r="Z30" s="2" t="s">
        <v>233</v>
      </c>
      <c r="AA30" s="40">
        <f t="shared" si="1"/>
        <v>50504.34782608696</v>
      </c>
      <c r="AB30" s="40" t="str">
        <f>IFERROR(INDEX(#REF!,MATCH(#REF!,#REF!,0)),"")</f>
        <v/>
      </c>
      <c r="AC30" s="40" t="str">
        <f>IFERROR(INDEX(#REF!,MATCH(#REF!,#REF!,0)),"")</f>
        <v/>
      </c>
      <c r="AD30" s="13"/>
      <c r="AE30" s="14"/>
      <c r="AF30" s="14">
        <f>58080/1.15</f>
        <v>50504.34782608696</v>
      </c>
      <c r="AG30" s="13"/>
      <c r="AQ30" s="33">
        <f>SUM(Projects[[#This Row],[2024 Actual]],Projects[[#This Row],[2025 Actual ]])</f>
        <v>0</v>
      </c>
      <c r="AS30" s="173">
        <f>IF(Projects[[#This Row],[WRP Funding Allocated USD]]=0,"-",Projects[[#This Row],[Actual Spend USD]]/Projects[[#This Row],[WRP Funding Allocated USD]])</f>
        <v>0</v>
      </c>
      <c r="AY30" s="150" t="e">
        <f>Projects[[#This Row],[No. Action Completed]]/Projects[[#This Row],[No. Actions Identified]]</f>
        <v>#DIV/0!</v>
      </c>
      <c r="BC30" s="15"/>
      <c r="BD30" s="15"/>
      <c r="BE30" s="17" t="s">
        <v>235</v>
      </c>
      <c r="BF30" s="17" t="s">
        <v>235</v>
      </c>
      <c r="BG30" s="38">
        <v>0.1</v>
      </c>
      <c r="BH30" s="38">
        <v>0.1</v>
      </c>
      <c r="BI30" s="64" t="s">
        <v>221</v>
      </c>
      <c r="BJ30" s="64" t="s">
        <v>221</v>
      </c>
      <c r="BK30" s="153"/>
      <c r="BL30" s="153" t="s">
        <v>332</v>
      </c>
    </row>
    <row r="31" spans="1:64" ht="44.65" customHeight="1">
      <c r="A31" s="32">
        <f>INDEX('Implementation Plan V2 Sep25'!A:A,MATCH(E31,'Implementation Plan V2 Sep25'!F:F,0))</f>
        <v>2</v>
      </c>
      <c r="B31" s="33" t="str">
        <f>INDEX('Implementation Plan V2 Sep25'!C:C,MATCH(E31,'Implementation Plan V2 Sep25'!F:F,0))</f>
        <v>OP2.2 Inclusive leadership and technical capability strengthening programmes established and delivering ongoing training to industry standards</v>
      </c>
      <c r="C31" s="33" t="str">
        <f>INDEX('Implementation Plan V2 Sep25'!E:E,MATCH(E31,'Implementation Plan V2 Sep25'!F:F,0))</f>
        <v>2.2.4</v>
      </c>
      <c r="D31" s="33">
        <f>INDEX('Implementation Plan V2 Sep25'!D:D,MATCH(E31,'Implementation Plan V2 Sep25'!F:F,0))</f>
        <v>25</v>
      </c>
      <c r="E31" s="2" t="s">
        <v>53</v>
      </c>
      <c r="F31" s="2" t="s">
        <v>333</v>
      </c>
      <c r="G31" s="2">
        <f>Projects[[#This Row],[Activity Ref]]</f>
        <v>25</v>
      </c>
      <c r="H31" s="45" t="s">
        <v>245</v>
      </c>
      <c r="J31" s="2" t="str">
        <f>IF(OR(ISBLANK(Projects[[#This Row],[Task]]),Projects[[#This Row],[Task]]=0),"",CONCATENATE(Projects[[#This Row],[Phase]],Projects[[#This Row],[Task]]))</f>
        <v>2501</v>
      </c>
      <c r="K31" s="2" t="s">
        <v>214</v>
      </c>
      <c r="L31" s="2" t="s">
        <v>229</v>
      </c>
      <c r="O31" s="2" t="s">
        <v>251</v>
      </c>
      <c r="S31" s="13"/>
      <c r="T31" s="2" t="s">
        <v>216</v>
      </c>
      <c r="U31" s="2" t="s">
        <v>232</v>
      </c>
      <c r="V31" s="40">
        <f t="shared" si="0"/>
        <v>135133.07304347801</v>
      </c>
      <c r="W31" s="15"/>
      <c r="X31" s="17"/>
      <c r="Y31" s="17"/>
      <c r="Z31" s="2" t="s">
        <v>233</v>
      </c>
      <c r="AA31" s="40">
        <f t="shared" si="1"/>
        <v>135133.07304347801</v>
      </c>
      <c r="AB31" s="40" t="str">
        <f>IFERROR(INDEX(#REF!,MATCH(#REF!,#REF!,0)),"")</f>
        <v/>
      </c>
      <c r="AC31" s="40" t="str">
        <f>IFERROR(INDEX(#REF!,MATCH(#REF!,#REF!,0)),"")</f>
        <v/>
      </c>
      <c r="AD31" s="13"/>
      <c r="AE31" s="13"/>
      <c r="AF31" s="19">
        <f>135173.913043478-40.84</f>
        <v>135133.07304347801</v>
      </c>
      <c r="AG31" s="13"/>
      <c r="AQ31" s="33">
        <f>SUM(Projects[[#This Row],[2024 Actual]],Projects[[#This Row],[2025 Actual ]])</f>
        <v>0</v>
      </c>
      <c r="AS31" s="173">
        <f>IF(Projects[[#This Row],[WRP Funding Allocated USD]]=0,"-",Projects[[#This Row],[Actual Spend USD]]/Projects[[#This Row],[WRP Funding Allocated USD]])</f>
        <v>0</v>
      </c>
      <c r="AY31" s="150" t="e">
        <f>Projects[[#This Row],[No. Action Completed]]/Projects[[#This Row],[No. Actions Identified]]</f>
        <v>#DIV/0!</v>
      </c>
      <c r="BC31" s="15"/>
      <c r="BD31" s="15"/>
      <c r="BE31" s="17" t="s">
        <v>249</v>
      </c>
      <c r="BF31" s="17" t="s">
        <v>249</v>
      </c>
      <c r="BG31" s="38">
        <v>0</v>
      </c>
      <c r="BH31" s="38">
        <v>0</v>
      </c>
      <c r="BI31" s="64" t="s">
        <v>119</v>
      </c>
      <c r="BJ31" s="64" t="s">
        <v>119</v>
      </c>
      <c r="BK31" s="17" t="s">
        <v>242</v>
      </c>
      <c r="BL31" s="17" t="s">
        <v>119</v>
      </c>
    </row>
    <row r="32" spans="1:64" ht="76.5" customHeight="1">
      <c r="A32" s="32">
        <f>INDEX('Implementation Plan V2 Sep25'!A:A,MATCH(E32,'Implementation Plan V2 Sep25'!F:F,0))</f>
        <v>2</v>
      </c>
      <c r="B32" s="33" t="str">
        <f>INDEX('Implementation Plan V2 Sep25'!C:C,MATCH(E32,'Implementation Plan V2 Sep25'!F:F,0))</f>
        <v>OP2.2 Inclusive leadership and technical capability strengthening programmes established and delivering ongoing training to industry standards</v>
      </c>
      <c r="C32" s="33" t="str">
        <f>INDEX('Implementation Plan V2 Sep25'!E:E,MATCH(E32,'Implementation Plan V2 Sep25'!F:F,0))</f>
        <v>2.2.3</v>
      </c>
      <c r="D32" s="33">
        <f>INDEX('Implementation Plan V2 Sep25'!D:D,MATCH(E32,'Implementation Plan V2 Sep25'!F:F,0))</f>
        <v>24</v>
      </c>
      <c r="E32" s="2" t="s">
        <v>51</v>
      </c>
      <c r="F32" s="2" t="s">
        <v>334</v>
      </c>
      <c r="G32" s="2">
        <f>Projects[[#This Row],[Activity Ref]]</f>
        <v>24</v>
      </c>
      <c r="H32" s="45" t="s">
        <v>245</v>
      </c>
      <c r="J32" s="2" t="str">
        <f>IF(OR(ISBLANK(Projects[[#This Row],[Task]]),Projects[[#This Row],[Task]]=0),"",CONCATENATE(Projects[[#This Row],[Phase]],Projects[[#This Row],[Task]]))</f>
        <v>2401</v>
      </c>
      <c r="K32" s="2" t="s">
        <v>224</v>
      </c>
      <c r="L32" s="2" t="s">
        <v>229</v>
      </c>
      <c r="O32" s="2" t="s">
        <v>251</v>
      </c>
      <c r="R32" s="2" t="s">
        <v>335</v>
      </c>
      <c r="S32" s="13"/>
      <c r="T32" s="2" t="s">
        <v>119</v>
      </c>
      <c r="U32" s="2" t="s">
        <v>232</v>
      </c>
      <c r="V32" s="40">
        <f t="shared" si="0"/>
        <v>124020.18999999999</v>
      </c>
      <c r="W32" s="15"/>
      <c r="X32" s="17"/>
      <c r="Y32" s="17"/>
      <c r="Z32" s="2" t="s">
        <v>233</v>
      </c>
      <c r="AA32" s="40">
        <f t="shared" si="1"/>
        <v>124020.18999999999</v>
      </c>
      <c r="AB32" s="40" t="str">
        <f>IFERROR(INDEX(#REF!,MATCH(#REF!,#REF!,0)),"")</f>
        <v/>
      </c>
      <c r="AC32" s="40" t="str">
        <f>IFERROR(INDEX(#REF!,MATCH(#REF!,#REF!,0)),"")</f>
        <v/>
      </c>
      <c r="AD32" s="13"/>
      <c r="AE32" s="19">
        <v>124020.18999999999</v>
      </c>
      <c r="AF32" s="13"/>
      <c r="AG32" s="13"/>
      <c r="AO32" s="13">
        <v>50548.06</v>
      </c>
      <c r="AP32" s="13">
        <f>Projects[[#This Row],[2025]]</f>
        <v>124020.18999999999</v>
      </c>
      <c r="AQ32" s="33">
        <f>SUM(Projects[[#This Row],[2024 Actual]],Projects[[#This Row],[2025 Actual ]])</f>
        <v>124020.18999999999</v>
      </c>
      <c r="AS32" s="173">
        <f>IF(Projects[[#This Row],[WRP Funding Allocated USD]]=0,"-",Projects[[#This Row],[Actual Spend USD]]/Projects[[#This Row],[WRP Funding Allocated USD]])</f>
        <v>1</v>
      </c>
      <c r="AY32" s="150" t="e">
        <f>Projects[[#This Row],[No. Action Completed]]/Projects[[#This Row],[No. Actions Identified]]</f>
        <v>#DIV/0!</v>
      </c>
      <c r="BC32" s="15"/>
      <c r="BD32" s="15"/>
      <c r="BE32" s="17" t="s">
        <v>220</v>
      </c>
      <c r="BF32" s="17" t="s">
        <v>220</v>
      </c>
      <c r="BG32" s="38">
        <v>0.5</v>
      </c>
      <c r="BH32" s="38">
        <v>0.5</v>
      </c>
      <c r="BI32" s="64" t="s">
        <v>221</v>
      </c>
      <c r="BJ32" s="64" t="s">
        <v>221</v>
      </c>
      <c r="BK32" s="17" t="s">
        <v>321</v>
      </c>
      <c r="BL32" s="154" t="s">
        <v>336</v>
      </c>
    </row>
    <row r="33" spans="1:64" ht="76.5" customHeight="1">
      <c r="A33" s="32">
        <f>INDEX('Implementation Plan V2 Sep25'!A:A,MATCH(E33,'Implementation Plan V2 Sep25'!F:F,0))</f>
        <v>2</v>
      </c>
      <c r="B33" s="33" t="str">
        <f>INDEX('Implementation Plan V2 Sep25'!C:C,MATCH(E33,'Implementation Plan V2 Sep25'!F:F,0))</f>
        <v>OP2.2 Inclusive leadership and technical capability strengthening programmes established and delivering ongoing training to industry standards</v>
      </c>
      <c r="C33" s="33" t="str">
        <f>INDEX('Implementation Plan V2 Sep25'!E:E,MATCH(E33,'Implementation Plan V2 Sep25'!F:F,0))</f>
        <v>2.2.3</v>
      </c>
      <c r="D33" s="33">
        <f>INDEX('Implementation Plan V2 Sep25'!D:D,MATCH(E33,'Implementation Plan V2 Sep25'!F:F,0))</f>
        <v>24</v>
      </c>
      <c r="E33" s="2" t="s">
        <v>51</v>
      </c>
      <c r="F33" s="2" t="s">
        <v>334</v>
      </c>
      <c r="G33" s="2">
        <f>Projects[[#This Row],[Activity Ref]]</f>
        <v>24</v>
      </c>
      <c r="H33" s="45" t="s">
        <v>245</v>
      </c>
      <c r="J33" s="2" t="str">
        <f>IF(OR(ISBLANK(Projects[[#This Row],[Task]]),Projects[[#This Row],[Task]]=0),"",CONCATENATE(Projects[[#This Row],[Phase]],Projects[[#This Row],[Task]]))</f>
        <v>2401</v>
      </c>
      <c r="K33" s="2" t="s">
        <v>224</v>
      </c>
      <c r="L33" s="2" t="s">
        <v>229</v>
      </c>
      <c r="O33" s="2" t="s">
        <v>251</v>
      </c>
      <c r="S33" s="13">
        <f>Projects[[#This Row],[2026 Budget]]/2</f>
        <v>73913.043478260879</v>
      </c>
      <c r="T33" s="2" t="s">
        <v>119</v>
      </c>
      <c r="U33" s="2" t="s">
        <v>232</v>
      </c>
      <c r="V33" s="40">
        <f t="shared" si="0"/>
        <v>147826.08695652176</v>
      </c>
      <c r="W33" s="15"/>
      <c r="X33" s="17"/>
      <c r="Y33" s="17"/>
      <c r="Z33" s="2" t="s">
        <v>248</v>
      </c>
      <c r="AA33" s="40">
        <f t="shared" si="1"/>
        <v>147826.08695652176</v>
      </c>
      <c r="AB33" s="40" t="str">
        <f>IFERROR(INDEX(#REF!,MATCH(#REF!,#REF!,0)),"")</f>
        <v/>
      </c>
      <c r="AD33" s="13"/>
      <c r="AE33" s="13"/>
      <c r="AF33" s="19">
        <f>170000/1.15</f>
        <v>147826.08695652176</v>
      </c>
      <c r="AG33" s="13"/>
      <c r="AQ33" s="40">
        <f>SUM(Projects[[#This Row],[2024 Actual]],Projects[[#This Row],[2025 Actual ]])</f>
        <v>0</v>
      </c>
      <c r="AR33" s="40"/>
      <c r="AS33" s="173">
        <f>IF(Projects[[#This Row],[WRP Funding Allocated USD]]=0,"-",Projects[[#This Row],[Actual Spend USD]]/Projects[[#This Row],[WRP Funding Allocated USD]])</f>
        <v>0</v>
      </c>
      <c r="AY33" s="150" t="e">
        <f>Projects[[#This Row],[No. Action Completed]]/Projects[[#This Row],[No. Actions Identified]]</f>
        <v>#DIV/0!</v>
      </c>
      <c r="BC33" s="15"/>
      <c r="BD33" s="15"/>
      <c r="BE33" s="17" t="s">
        <v>249</v>
      </c>
      <c r="BF33" s="17" t="s">
        <v>249</v>
      </c>
      <c r="BG33" s="38">
        <v>0</v>
      </c>
      <c r="BH33" s="38">
        <v>0</v>
      </c>
      <c r="BI33" s="64" t="s">
        <v>119</v>
      </c>
      <c r="BJ33" s="64" t="s">
        <v>119</v>
      </c>
      <c r="BK33" s="17" t="s">
        <v>242</v>
      </c>
      <c r="BL33" s="17" t="s">
        <v>119</v>
      </c>
    </row>
    <row r="34" spans="1:64" ht="75" customHeight="1">
      <c r="A34" s="32">
        <f>INDEX('Implementation Plan V2 Sep25'!A:A,MATCH(E34,'Implementation Plan V2 Sep25'!F:F,0))</f>
        <v>2</v>
      </c>
      <c r="B34" s="33" t="str">
        <f>INDEX('Implementation Plan V2 Sep25'!C:C,MATCH(E34,'Implementation Plan V2 Sep25'!F:F,0))</f>
        <v>OP2.2 Inclusive leadership and technical capability strengthening programmes established and delivering ongoing training to industry standards</v>
      </c>
      <c r="C34" s="33" t="str">
        <f>INDEX('Implementation Plan V2 Sep25'!E:E,MATCH(E34,'Implementation Plan V2 Sep25'!F:F,0))</f>
        <v>2.2.5</v>
      </c>
      <c r="D34" s="33">
        <f>INDEX('Implementation Plan V2 Sep25'!D:D,MATCH(E34,'Implementation Plan V2 Sep25'!F:F,0))</f>
        <v>26</v>
      </c>
      <c r="E34" s="2" t="s">
        <v>55</v>
      </c>
      <c r="F34" s="2" t="s">
        <v>337</v>
      </c>
      <c r="G34" s="2">
        <f>Projects[[#This Row],[Activity Ref]]</f>
        <v>26</v>
      </c>
      <c r="H34" s="45" t="s">
        <v>275</v>
      </c>
      <c r="J34" s="2" t="str">
        <f>IF(OR(ISBLANK(Projects[[#This Row],[Task]]),Projects[[#This Row],[Task]]=0),"",CONCATENATE(Projects[[#This Row],[Phase]],Projects[[#This Row],[Task]]))</f>
        <v>2603</v>
      </c>
      <c r="K34" s="2" t="s">
        <v>224</v>
      </c>
      <c r="L34" s="2" t="s">
        <v>229</v>
      </c>
      <c r="O34" s="2" t="s">
        <v>251</v>
      </c>
      <c r="Q34" s="2">
        <v>2025</v>
      </c>
      <c r="R34" s="2" t="s">
        <v>338</v>
      </c>
      <c r="S34" s="13"/>
      <c r="T34" s="2" t="s">
        <v>331</v>
      </c>
      <c r="U34" s="2" t="s">
        <v>232</v>
      </c>
      <c r="V34" s="40">
        <f t="shared" si="0"/>
        <v>54069.565217391311</v>
      </c>
      <c r="W34" s="2"/>
      <c r="X34" s="17"/>
      <c r="Y34" s="17"/>
      <c r="Z34" s="2" t="s">
        <v>233</v>
      </c>
      <c r="AA34" s="40">
        <f t="shared" ref="AA34:AA65" si="2">SUM(AD34:AM34)</f>
        <v>54069.565217391311</v>
      </c>
      <c r="AB34" s="40" t="str">
        <f>IFERROR(INDEX(#REF!,MATCH(#REF!,#REF!,0)),"")</f>
        <v/>
      </c>
      <c r="AC34" s="40" t="str">
        <f>IFERROR(INDEX(#REF!,MATCH(#REF!,#REF!,0)),"")</f>
        <v/>
      </c>
      <c r="AD34" s="13"/>
      <c r="AE34" s="13"/>
      <c r="AF34" s="19">
        <f>62180/1.15</f>
        <v>54069.565217391311</v>
      </c>
      <c r="AG34" s="13"/>
      <c r="AQ34" s="33">
        <f>SUM(Projects[[#This Row],[2024 Actual]],Projects[[#This Row],[2025 Actual ]])</f>
        <v>0</v>
      </c>
      <c r="AS34" s="173">
        <f>IF(Projects[[#This Row],[WRP Funding Allocated USD]]=0,"-",Projects[[#This Row],[Actual Spend USD]]/Projects[[#This Row],[WRP Funding Allocated USD]])</f>
        <v>0</v>
      </c>
      <c r="AY34" s="150" t="e">
        <f>Projects[[#This Row],[No. Action Completed]]/Projects[[#This Row],[No. Actions Identified]]</f>
        <v>#DIV/0!</v>
      </c>
      <c r="BC34" s="15"/>
      <c r="BD34" s="15"/>
      <c r="BE34" s="17" t="s">
        <v>249</v>
      </c>
      <c r="BF34" s="17" t="s">
        <v>249</v>
      </c>
      <c r="BG34" s="38">
        <v>0</v>
      </c>
      <c r="BH34" s="38">
        <v>0</v>
      </c>
      <c r="BI34" s="64" t="s">
        <v>119</v>
      </c>
      <c r="BJ34" s="64" t="s">
        <v>119</v>
      </c>
      <c r="BK34" s="22" t="s">
        <v>242</v>
      </c>
      <c r="BL34" s="22" t="s">
        <v>119</v>
      </c>
    </row>
    <row r="35" spans="1:64" ht="49.15" customHeight="1">
      <c r="A35" s="32">
        <f>INDEX('Implementation Plan V2 Sep25'!A:A,MATCH(E35,'Implementation Plan V2 Sep25'!F:F,0))</f>
        <v>2</v>
      </c>
      <c r="B35" s="33" t="str">
        <f>INDEX('Implementation Plan V2 Sep25'!C:C,MATCH(E35,'Implementation Plan V2 Sep25'!F:F,0))</f>
        <v>OP2.3 Continuous learning and mentoring opportunities provided</v>
      </c>
      <c r="C35" s="33" t="str">
        <f>INDEX('Implementation Plan V2 Sep25'!E:E,MATCH(E35,'Implementation Plan V2 Sep25'!F:F,0))</f>
        <v>2.3.1</v>
      </c>
      <c r="D35" s="33">
        <f>INDEX('Implementation Plan V2 Sep25'!D:D,MATCH(E35,'Implementation Plan V2 Sep25'!F:F,0))</f>
        <v>28</v>
      </c>
      <c r="E35" s="2" t="s">
        <v>62</v>
      </c>
      <c r="F35" s="2" t="s">
        <v>339</v>
      </c>
      <c r="G35" s="2">
        <f>Projects[[#This Row],[Activity Ref]]</f>
        <v>28</v>
      </c>
      <c r="H35" s="45" t="s">
        <v>245</v>
      </c>
      <c r="J35" s="2" t="str">
        <f>IF(OR(ISBLANK(Projects[[#This Row],[Task]]),Projects[[#This Row],[Task]]=0),"",CONCATENATE(Projects[[#This Row],[Phase]],Projects[[#This Row],[Task]]))</f>
        <v>2801</v>
      </c>
      <c r="K35" s="2" t="s">
        <v>224</v>
      </c>
      <c r="L35" s="2" t="s">
        <v>225</v>
      </c>
      <c r="O35" s="2" t="s">
        <v>292</v>
      </c>
      <c r="S35" s="13"/>
      <c r="T35" s="2" t="s">
        <v>216</v>
      </c>
      <c r="U35" s="2" t="s">
        <v>217</v>
      </c>
      <c r="V35" s="40">
        <f t="shared" si="0"/>
        <v>91640</v>
      </c>
      <c r="W35" s="15"/>
      <c r="X35" s="17"/>
      <c r="Y35" s="17"/>
      <c r="Z35" s="2" t="s">
        <v>218</v>
      </c>
      <c r="AA35" s="40">
        <f t="shared" si="2"/>
        <v>91640</v>
      </c>
      <c r="AB35" s="40" t="str">
        <f>IFERROR(INDEX(#REF!,MATCH(#REF!,#REF!,0)),"")</f>
        <v/>
      </c>
      <c r="AC35" s="40" t="str">
        <f>IFERROR(INDEX(#REF!,MATCH(#REF!,#REF!,0)),"")</f>
        <v/>
      </c>
      <c r="AD35" s="13"/>
      <c r="AE35" s="237">
        <v>29488</v>
      </c>
      <c r="AF35" s="237">
        <v>45000</v>
      </c>
      <c r="AG35" s="237">
        <v>17152</v>
      </c>
      <c r="AP35" s="237">
        <v>29488</v>
      </c>
      <c r="AQ35" s="33">
        <f>SUM(Projects[[#This Row],[2024 Actual]],Projects[[#This Row],[2025 Actual ]])</f>
        <v>29488</v>
      </c>
      <c r="AS35" s="173">
        <f>IF(Projects[[#This Row],[WRP Funding Allocated USD]]=0,"-",Projects[[#This Row],[Actual Spend USD]]/Projects[[#This Row],[WRP Funding Allocated USD]])</f>
        <v>0.32178088171104319</v>
      </c>
      <c r="AY35" s="150" t="e">
        <f>Projects[[#This Row],[No. Action Completed]]/Projects[[#This Row],[No. Actions Identified]]</f>
        <v>#DIV/0!</v>
      </c>
      <c r="BC35" s="15"/>
      <c r="BD35" s="15"/>
      <c r="BE35" s="17" t="s">
        <v>220</v>
      </c>
      <c r="BF35" s="17" t="s">
        <v>220</v>
      </c>
      <c r="BG35" s="38">
        <v>0.1</v>
      </c>
      <c r="BH35" s="38">
        <v>0.1</v>
      </c>
      <c r="BI35" s="64" t="s">
        <v>221</v>
      </c>
      <c r="BJ35" s="64" t="s">
        <v>221</v>
      </c>
      <c r="BK35" s="151" t="s">
        <v>340</v>
      </c>
      <c r="BL35" s="151" t="s">
        <v>119</v>
      </c>
    </row>
    <row r="36" spans="1:64" ht="74.650000000000006" customHeight="1">
      <c r="A36" s="32">
        <f>INDEX('Implementation Plan V2 Sep25'!A:A,MATCH(E36,'Implementation Plan V2 Sep25'!F:F,0))</f>
        <v>3</v>
      </c>
      <c r="B36" s="33" t="str">
        <f>INDEX('Implementation Plan V2 Sep25'!C:C,MATCH(E36,'Implementation Plan V2 Sep25'!F:F,0))</f>
        <v>Output 3.1 Interoperable, affordable and resilient observation network progressively remediated, expanded and sustained</v>
      </c>
      <c r="C36" s="33" t="str">
        <f>INDEX('Implementation Plan V2 Sep25'!E:E,MATCH(E36,'Implementation Plan V2 Sep25'!F:F,0))</f>
        <v>3.1.1</v>
      </c>
      <c r="D36" s="33">
        <f>INDEX('Implementation Plan V2 Sep25'!D:D,MATCH(E36,'Implementation Plan V2 Sep25'!F:F,0))</f>
        <v>32</v>
      </c>
      <c r="E36" s="2" t="s">
        <v>71</v>
      </c>
      <c r="F36" s="2" t="s">
        <v>341</v>
      </c>
      <c r="G36" s="2">
        <f>Projects[[#This Row],[Activity Ref]]</f>
        <v>32</v>
      </c>
      <c r="H36" s="45" t="s">
        <v>245</v>
      </c>
      <c r="J36" s="2" t="str">
        <f>IF(OR(ISBLANK(Projects[[#This Row],[Task]]),Projects[[#This Row],[Task]]=0),"",CONCATENATE(Projects[[#This Row],[Phase]],Projects[[#This Row],[Task]]))</f>
        <v>3201</v>
      </c>
      <c r="K36" s="2" t="s">
        <v>214</v>
      </c>
      <c r="L36" s="2" t="s">
        <v>225</v>
      </c>
      <c r="O36" s="2" t="s">
        <v>292</v>
      </c>
      <c r="S36" s="13"/>
      <c r="T36" s="2" t="s">
        <v>216</v>
      </c>
      <c r="U36" s="2" t="s">
        <v>217</v>
      </c>
      <c r="V36" s="40">
        <f t="shared" si="0"/>
        <v>255029</v>
      </c>
      <c r="W36" s="15"/>
      <c r="X36" s="17"/>
      <c r="Y36" s="17"/>
      <c r="Z36" s="2" t="s">
        <v>218</v>
      </c>
      <c r="AA36" s="40">
        <f t="shared" si="2"/>
        <v>255029</v>
      </c>
      <c r="AB36" s="40" t="str">
        <f>IFERROR(INDEX(#REF!,MATCH(#REF!,#REF!,0)),"")</f>
        <v/>
      </c>
      <c r="AC36" s="40" t="str">
        <f>IFERROR(INDEX(#REF!,MATCH(#REF!,#REF!,0)),"")</f>
        <v/>
      </c>
      <c r="AD36" s="13"/>
      <c r="AE36" s="237">
        <v>255029</v>
      </c>
      <c r="AF36" s="19"/>
      <c r="AG36" s="19"/>
      <c r="AP36" s="237">
        <v>274004</v>
      </c>
      <c r="AQ36" s="33">
        <f>SUM(Projects[[#This Row],[2024 Actual]],Projects[[#This Row],[2025 Actual ]])</f>
        <v>274004</v>
      </c>
      <c r="AS36" s="173">
        <f>IF(Projects[[#This Row],[WRP Funding Allocated USD]]=0,"-",Projects[[#This Row],[Actual Spend USD]]/Projects[[#This Row],[WRP Funding Allocated USD]])</f>
        <v>1.074403303153759</v>
      </c>
      <c r="AY36" s="150" t="e">
        <f>Projects[[#This Row],[No. Action Completed]]/Projects[[#This Row],[No. Actions Identified]]</f>
        <v>#DIV/0!</v>
      </c>
      <c r="BC36" s="15"/>
      <c r="BD36" s="15"/>
      <c r="BE36" s="17" t="s">
        <v>220</v>
      </c>
      <c r="BF36" s="17" t="s">
        <v>220</v>
      </c>
      <c r="BG36" s="38">
        <v>0.05</v>
      </c>
      <c r="BH36" s="38">
        <v>0.05</v>
      </c>
      <c r="BI36" s="64" t="s">
        <v>221</v>
      </c>
      <c r="BJ36" s="64" t="s">
        <v>221</v>
      </c>
      <c r="BK36" s="151" t="s">
        <v>242</v>
      </c>
      <c r="BL36" s="151" t="s">
        <v>119</v>
      </c>
    </row>
    <row r="37" spans="1:64" ht="76.5" customHeight="1">
      <c r="A37" s="32">
        <f>INDEX('Implementation Plan V2 Sep25'!A:A,MATCH(E37,'Implementation Plan V2 Sep25'!F:F,0))</f>
        <v>3</v>
      </c>
      <c r="B37" s="33" t="str">
        <f>INDEX('Implementation Plan V2 Sep25'!C:C,MATCH(E37,'Implementation Plan V2 Sep25'!F:F,0))</f>
        <v>Output 3.1 Interoperable, affordable and resilient observation network progressively remediated, expanded and sustained</v>
      </c>
      <c r="C37" s="33" t="str">
        <f>INDEX('Implementation Plan V2 Sep25'!E:E,MATCH(E37,'Implementation Plan V2 Sep25'!F:F,0))</f>
        <v>3.1.3</v>
      </c>
      <c r="D37" s="33">
        <f>INDEX('Implementation Plan V2 Sep25'!D:D,MATCH(E37,'Implementation Plan V2 Sep25'!F:F,0))</f>
        <v>71</v>
      </c>
      <c r="E37" s="2" t="s">
        <v>78</v>
      </c>
      <c r="F37" s="2" t="s">
        <v>342</v>
      </c>
      <c r="G37" s="2">
        <f>Projects[[#This Row],[Activity Ref]]</f>
        <v>71</v>
      </c>
      <c r="H37" s="45" t="s">
        <v>245</v>
      </c>
      <c r="J37" s="2" t="str">
        <f>IF(OR(ISBLANK(Projects[[#This Row],[Task]]),Projects[[#This Row],[Task]]=0),"",CONCATENATE(Projects[[#This Row],[Phase]],Projects[[#This Row],[Task]]))</f>
        <v>7101</v>
      </c>
      <c r="K37" s="2" t="s">
        <v>214</v>
      </c>
      <c r="L37" s="2" t="s">
        <v>225</v>
      </c>
      <c r="O37" s="2" t="s">
        <v>292</v>
      </c>
      <c r="S37" s="13"/>
      <c r="T37" s="2" t="s">
        <v>119</v>
      </c>
      <c r="U37" s="2" t="s">
        <v>217</v>
      </c>
      <c r="V37" s="40">
        <f t="shared" si="0"/>
        <v>1484971</v>
      </c>
      <c r="W37" s="15"/>
      <c r="X37" s="17"/>
      <c r="Y37" s="17"/>
      <c r="Z37" s="2" t="s">
        <v>218</v>
      </c>
      <c r="AA37" s="40">
        <f t="shared" si="2"/>
        <v>1484971</v>
      </c>
      <c r="AB37" s="40" t="str">
        <f>IFERROR(INDEX(#REF!,MATCH(#REF!,#REF!,0)),"")</f>
        <v/>
      </c>
      <c r="AC37" s="40" t="str">
        <f>IFERROR(INDEX(#REF!,MATCH(#REF!,#REF!,0)),"")</f>
        <v/>
      </c>
      <c r="AD37" s="13"/>
      <c r="AE37" s="237">
        <v>8975</v>
      </c>
      <c r="AF37" s="237">
        <v>940769</v>
      </c>
      <c r="AG37" s="237">
        <v>535227</v>
      </c>
      <c r="AP37" s="19"/>
      <c r="AQ37" s="33">
        <f>SUM(Projects[[#This Row],[2024 Actual]],Projects[[#This Row],[2025 Actual ]])</f>
        <v>0</v>
      </c>
      <c r="AS37" s="173">
        <f>IF(Projects[[#This Row],[WRP Funding Allocated USD]]=0,"-",Projects[[#This Row],[Actual Spend USD]]/Projects[[#This Row],[WRP Funding Allocated USD]])</f>
        <v>0</v>
      </c>
      <c r="AY37" s="150" t="e">
        <f>Projects[[#This Row],[No. Action Completed]]/Projects[[#This Row],[No. Actions Identified]]</f>
        <v>#DIV/0!</v>
      </c>
      <c r="BC37" s="15"/>
      <c r="BD37" s="15"/>
      <c r="BE37" s="17" t="s">
        <v>249</v>
      </c>
      <c r="BF37" s="17" t="s">
        <v>249</v>
      </c>
      <c r="BG37" s="38">
        <v>0</v>
      </c>
      <c r="BH37" s="38">
        <v>0</v>
      </c>
      <c r="BI37" s="64" t="s">
        <v>119</v>
      </c>
      <c r="BJ37" s="64" t="s">
        <v>119</v>
      </c>
      <c r="BK37" s="17" t="s">
        <v>242</v>
      </c>
      <c r="BL37" s="17" t="s">
        <v>119</v>
      </c>
    </row>
    <row r="38" spans="1:64" ht="72" customHeight="1">
      <c r="A38" s="32">
        <f>INDEX('Implementation Plan V2 Sep25'!A:A,MATCH(E38,'Implementation Plan V2 Sep25'!F:F,0))</f>
        <v>3</v>
      </c>
      <c r="B38" s="33" t="str">
        <f>INDEX('Implementation Plan V2 Sep25'!C:C,MATCH(E38,'Implementation Plan V2 Sep25'!F:F,0))</f>
        <v>Output 3.1 Interoperable, affordable and resilient observation network progressively remediated, expanded and sustained</v>
      </c>
      <c r="C38" s="33" t="str">
        <f>INDEX('Implementation Plan V2 Sep25'!E:E,MATCH(E38,'Implementation Plan V2 Sep25'!F:F,0))</f>
        <v>3.1.1</v>
      </c>
      <c r="D38" s="33">
        <f>INDEX('Implementation Plan V2 Sep25'!D:D,MATCH(E38,'Implementation Plan V2 Sep25'!F:F,0))</f>
        <v>32</v>
      </c>
      <c r="E38" s="2" t="s">
        <v>71</v>
      </c>
      <c r="F38" s="2" t="s">
        <v>343</v>
      </c>
      <c r="G38" s="2">
        <f>Projects[[#This Row],[Activity Ref]]</f>
        <v>32</v>
      </c>
      <c r="H38" s="45" t="s">
        <v>275</v>
      </c>
      <c r="J38" s="2" t="str">
        <f>IF(OR(ISBLANK(Projects[[#This Row],[Task]]),Projects[[#This Row],[Task]]=0),"",CONCATENATE(Projects[[#This Row],[Phase]],Projects[[#This Row],[Task]]))</f>
        <v>3203</v>
      </c>
      <c r="K38" s="2" t="s">
        <v>214</v>
      </c>
      <c r="L38" s="2" t="s">
        <v>215</v>
      </c>
      <c r="O38" s="2" t="s">
        <v>292</v>
      </c>
      <c r="Q38" s="28"/>
      <c r="S38" s="13"/>
      <c r="T38" s="2" t="s">
        <v>216</v>
      </c>
      <c r="U38" s="2" t="s">
        <v>217</v>
      </c>
      <c r="V38" s="40">
        <f t="shared" si="0"/>
        <v>49300</v>
      </c>
      <c r="W38" s="15"/>
      <c r="X38" s="17"/>
      <c r="Y38" s="17"/>
      <c r="Z38" s="2" t="s">
        <v>218</v>
      </c>
      <c r="AA38" s="40">
        <f t="shared" si="2"/>
        <v>49300</v>
      </c>
      <c r="AB38" s="40" t="str">
        <f>IFERROR(INDEX(#REF!,MATCH(#REF!,#REF!,0)),"")</f>
        <v/>
      </c>
      <c r="AC38" s="40" t="str">
        <f>IFERROR(INDEX(#REF!,MATCH(#REF!,#REF!,0)),"")</f>
        <v/>
      </c>
      <c r="AD38" s="13">
        <v>290</v>
      </c>
      <c r="AE38" s="237">
        <v>37063</v>
      </c>
      <c r="AF38" s="237">
        <f>49010-Projects[[#This Row],[2025]]</f>
        <v>11947</v>
      </c>
      <c r="AG38" s="13"/>
      <c r="AN38" s="13">
        <v>290</v>
      </c>
      <c r="AO38" s="13">
        <v>2283.46</v>
      </c>
      <c r="AP38" s="237">
        <v>37063</v>
      </c>
      <c r="AQ38" s="40">
        <f>SUM(Projects[[#This Row],[2024 Actual]],Projects[[#This Row],[2025 Actual ]])</f>
        <v>37353</v>
      </c>
      <c r="AS38" s="173">
        <f>IF(Projects[[#This Row],[WRP Funding Allocated USD]]=0,"-",Projects[[#This Row],[Actual Spend USD]]/Projects[[#This Row],[WRP Funding Allocated USD]])</f>
        <v>0.75766734279918868</v>
      </c>
      <c r="AY38" s="150" t="e">
        <f>Projects[[#This Row],[No. Action Completed]]/Projects[[#This Row],[No. Actions Identified]]</f>
        <v>#DIV/0!</v>
      </c>
      <c r="BC38" s="15"/>
      <c r="BD38" s="15"/>
      <c r="BE38" s="17" t="s">
        <v>220</v>
      </c>
      <c r="BF38" s="17" t="s">
        <v>220</v>
      </c>
      <c r="BG38" s="38">
        <v>0.85</v>
      </c>
      <c r="BH38" s="38">
        <v>0.85</v>
      </c>
      <c r="BI38" s="64" t="s">
        <v>221</v>
      </c>
      <c r="BJ38" s="64" t="s">
        <v>221</v>
      </c>
      <c r="BK38" s="174" t="s">
        <v>344</v>
      </c>
      <c r="BL38" s="174" t="s">
        <v>345</v>
      </c>
    </row>
    <row r="39" spans="1:64" ht="46.5" customHeight="1">
      <c r="A39" s="32">
        <f>INDEX('Implementation Plan V2 Sep25'!A:A,MATCH(E39,'Implementation Plan V2 Sep25'!F:F,0))</f>
        <v>1</v>
      </c>
      <c r="B39" s="33" t="str">
        <f>INDEX('Implementation Plan V2 Sep25'!C:C,MATCH(E39,'Implementation Plan V2 Sep25'!F:F,0))</f>
        <v>Output 1.1 WRP governance, management and financing mechanisms established, mandated and equipped to coordinate a Pacific-led, integrated, and sustainable programme</v>
      </c>
      <c r="C39" s="33" t="str">
        <f>INDEX('Implementation Plan V2 Sep25'!E:E,MATCH(E39,'Implementation Plan V2 Sep25'!F:F,0))</f>
        <v>1.1.2</v>
      </c>
      <c r="D39" s="33">
        <f>INDEX('Implementation Plan V2 Sep25'!D:D,MATCH(E39,'Implementation Plan V2 Sep25'!F:F,0))</f>
        <v>12</v>
      </c>
      <c r="E39" s="2" t="s">
        <v>19</v>
      </c>
      <c r="F39" s="2" t="s">
        <v>284</v>
      </c>
      <c r="G39" s="2">
        <f>Projects[[#This Row],[Activity Ref]]</f>
        <v>12</v>
      </c>
      <c r="H39" s="45" t="s">
        <v>285</v>
      </c>
      <c r="J39" s="2" t="str">
        <f>IF(OR(ISBLANK(Projects[[#This Row],[Task]]),Projects[[#This Row],[Task]]=0),"",CONCATENATE(Projects[[#This Row],[Phase]],Projects[[#This Row],[Task]]))</f>
        <v>1202</v>
      </c>
      <c r="K39" s="2" t="s">
        <v>224</v>
      </c>
      <c r="L39" s="2" t="s">
        <v>229</v>
      </c>
      <c r="O39" s="2" t="s">
        <v>286</v>
      </c>
      <c r="S39" s="13"/>
      <c r="T39" s="2" t="s">
        <v>216</v>
      </c>
      <c r="U39" s="2" t="s">
        <v>232</v>
      </c>
      <c r="V39" s="40">
        <f t="shared" si="0"/>
        <v>295801.41000000003</v>
      </c>
      <c r="W39" s="15"/>
      <c r="X39" s="17"/>
      <c r="Y39" s="17"/>
      <c r="Z39" s="2" t="s">
        <v>346</v>
      </c>
      <c r="AA39" s="40">
        <f t="shared" si="2"/>
        <v>295801.41000000003</v>
      </c>
      <c r="AB39" s="40" t="str">
        <f>IFERROR(INDEX(#REF!,MATCH(#REF!,#REF!,0)),"")</f>
        <v/>
      </c>
      <c r="AD39" s="19">
        <v>55801.41</v>
      </c>
      <c r="AE39" s="20"/>
      <c r="AF39" s="196">
        <f>(80000+80000)-60000</f>
        <v>100000</v>
      </c>
      <c r="AG39" s="196">
        <v>80000</v>
      </c>
      <c r="AH39" s="196">
        <v>60000</v>
      </c>
      <c r="AI39" s="196"/>
      <c r="AN39" s="13">
        <v>55801.41</v>
      </c>
      <c r="AQ39" s="33">
        <f>SUM(Projects[[#This Row],[2024 Actual]],Projects[[#This Row],[2025 Actual ]])</f>
        <v>55801.41</v>
      </c>
      <c r="AS39" s="173">
        <f>IF(Projects[[#This Row],[WRP Funding Allocated USD]]=0,"-",Projects[[#This Row],[Actual Spend USD]]/Projects[[#This Row],[WRP Funding Allocated USD]])</f>
        <v>0.18864484114528055</v>
      </c>
      <c r="AY39" s="150" t="e">
        <f>Projects[[#This Row],[No. Action Completed]]/Projects[[#This Row],[No. Actions Identified]]</f>
        <v>#DIV/0!</v>
      </c>
      <c r="BC39" s="15"/>
      <c r="BD39" s="15"/>
      <c r="BE39" s="17" t="s">
        <v>220</v>
      </c>
      <c r="BF39" s="17" t="s">
        <v>220</v>
      </c>
      <c r="BG39" s="38">
        <v>0.2</v>
      </c>
      <c r="BH39" s="38">
        <v>0.2</v>
      </c>
      <c r="BI39" s="64" t="s">
        <v>221</v>
      </c>
      <c r="BJ39" s="64" t="s">
        <v>221</v>
      </c>
      <c r="BK39" s="152" t="s">
        <v>242</v>
      </c>
      <c r="BL39" s="152" t="s">
        <v>119</v>
      </c>
    </row>
    <row r="40" spans="1:64" ht="40.5" customHeight="1">
      <c r="A40" s="32">
        <f>INDEX('Implementation Plan V2 Sep25'!A:A,MATCH(E40,'Implementation Plan V2 Sep25'!F:F,0))</f>
        <v>3</v>
      </c>
      <c r="B40" s="33" t="str">
        <f>INDEX('Implementation Plan V2 Sep25'!C:C,MATCH(E40,'Implementation Plan V2 Sep25'!F:F,0))</f>
        <v>Output 3.1 Interoperable, affordable and resilient observation network progressively remediated, expanded and sustained</v>
      </c>
      <c r="C40" s="33" t="str">
        <f>INDEX('Implementation Plan V2 Sep25'!E:E,MATCH(E40,'Implementation Plan V2 Sep25'!F:F,0))</f>
        <v>3.1.5</v>
      </c>
      <c r="D40" s="33">
        <f>INDEX('Implementation Plan V2 Sep25'!D:D,MATCH(E40,'Implementation Plan V2 Sep25'!F:F,0))</f>
        <v>73</v>
      </c>
      <c r="E40" s="2" t="s">
        <v>83</v>
      </c>
      <c r="F40" s="2" t="s">
        <v>347</v>
      </c>
      <c r="G40" s="2">
        <f>Projects[[#This Row],[Activity Ref]]</f>
        <v>73</v>
      </c>
      <c r="H40" s="45" t="s">
        <v>291</v>
      </c>
      <c r="J40" s="2" t="str">
        <f>IF(OR(ISBLANK(Projects[[#This Row],[Task]]),Projects[[#This Row],[Task]]=0),"",CONCATENATE(Projects[[#This Row],[Phase]],Projects[[#This Row],[Task]]))</f>
        <v>7306</v>
      </c>
      <c r="K40" s="2" t="s">
        <v>214</v>
      </c>
      <c r="L40" s="2" t="s">
        <v>215</v>
      </c>
      <c r="O40" s="2" t="s">
        <v>292</v>
      </c>
      <c r="S40" s="13"/>
      <c r="T40" s="2" t="s">
        <v>348</v>
      </c>
      <c r="U40" s="2" t="s">
        <v>217</v>
      </c>
      <c r="V40" s="40">
        <f t="shared" si="0"/>
        <v>2356378</v>
      </c>
      <c r="W40" s="15"/>
      <c r="X40" s="17"/>
      <c r="Y40" s="17"/>
      <c r="Z40" s="2" t="s">
        <v>218</v>
      </c>
      <c r="AA40" s="40">
        <f t="shared" si="2"/>
        <v>2356378</v>
      </c>
      <c r="AB40" s="40" t="str">
        <f>IFERROR(INDEX(#REF!,MATCH(#REF!,#REF!,0)),"")</f>
        <v/>
      </c>
      <c r="AC40" s="40" t="str">
        <f>IFERROR(INDEX(#REF!,MATCH(#REF!,#REF!,0)),"")</f>
        <v/>
      </c>
      <c r="AD40" s="20">
        <v>1906045</v>
      </c>
      <c r="AE40" s="237">
        <v>208211</v>
      </c>
      <c r="AF40" s="237">
        <f>(2356378-Projects[[#This Row],[2024]]-Projects[[#This Row],[2025]])/2</f>
        <v>121061</v>
      </c>
      <c r="AG40" s="237">
        <f>(2356378-Projects[[#This Row],[2024]]-Projects[[#This Row],[2025]])/2</f>
        <v>121061</v>
      </c>
      <c r="AN40" s="20">
        <v>1906045.3</v>
      </c>
      <c r="AO40" s="13">
        <v>123389.2</v>
      </c>
      <c r="AP40" s="237">
        <v>208211</v>
      </c>
      <c r="AQ40" s="40">
        <f>SUM(Projects[[#This Row],[2024 Actual]],Projects[[#This Row],[2025 Actual ]])</f>
        <v>2114256.2999999998</v>
      </c>
      <c r="AS40" s="173">
        <f>IF(Projects[[#This Row],[WRP Funding Allocated USD]]=0,"-",Projects[[#This Row],[Actual Spend USD]]/Projects[[#This Row],[WRP Funding Allocated USD]])</f>
        <v>0.89724836168051125</v>
      </c>
      <c r="AY40" s="150" t="e">
        <f>Projects[[#This Row],[No. Action Completed]]/Projects[[#This Row],[No. Actions Identified]]</f>
        <v>#DIV/0!</v>
      </c>
      <c r="BC40" s="15"/>
      <c r="BD40" s="15"/>
      <c r="BE40" s="17" t="s">
        <v>220</v>
      </c>
      <c r="BF40" s="17" t="s">
        <v>220</v>
      </c>
      <c r="BG40" s="38">
        <v>0.85</v>
      </c>
      <c r="BH40" s="38">
        <v>0.85</v>
      </c>
      <c r="BI40" s="64" t="s">
        <v>254</v>
      </c>
      <c r="BJ40" s="64" t="s">
        <v>254</v>
      </c>
      <c r="BK40" s="17" t="s">
        <v>349</v>
      </c>
      <c r="BL40" s="17" t="s">
        <v>350</v>
      </c>
    </row>
    <row r="41" spans="1:64" ht="40.5" customHeight="1">
      <c r="A41" s="32">
        <f>INDEX('Implementation Plan V2 Sep25'!A:A,MATCH(E41,'Implementation Plan V2 Sep25'!F:F,0))</f>
        <v>1</v>
      </c>
      <c r="B41" s="33" t="str">
        <f>INDEX('Implementation Plan V2 Sep25'!C:C,MATCH(E41,'Implementation Plan V2 Sep25'!F:F,0))</f>
        <v>Output 1.1 WRP governance, management and financing mechanisms established, mandated and equipped to coordinate a Pacific-led, integrated, and sustainable programme</v>
      </c>
      <c r="C41" s="33" t="str">
        <f>INDEX('Implementation Plan V2 Sep25'!E:E,MATCH(E41,'Implementation Plan V2 Sep25'!F:F,0))</f>
        <v>1.1.2</v>
      </c>
      <c r="D41" s="33">
        <f>INDEX('Implementation Plan V2 Sep25'!D:D,MATCH(E41,'Implementation Plan V2 Sep25'!F:F,0))</f>
        <v>12</v>
      </c>
      <c r="E41" s="2" t="s">
        <v>19</v>
      </c>
      <c r="F41" s="2" t="s">
        <v>351</v>
      </c>
      <c r="G41" s="2">
        <f>Projects[[#This Row],[Activity Ref]]</f>
        <v>12</v>
      </c>
      <c r="H41" s="45" t="s">
        <v>245</v>
      </c>
      <c r="J41" s="2" t="str">
        <f>IF(OR(ISBLANK(Projects[[#This Row],[Task]]),Projects[[#This Row],[Task]]=0),"",CONCATENATE(Projects[[#This Row],[Phase]],Projects[[#This Row],[Task]]))</f>
        <v>1201</v>
      </c>
      <c r="K41" s="2" t="s">
        <v>224</v>
      </c>
      <c r="L41" s="2" t="s">
        <v>229</v>
      </c>
      <c r="O41" s="2" t="s">
        <v>230</v>
      </c>
      <c r="S41" s="13"/>
      <c r="T41" s="2" t="s">
        <v>216</v>
      </c>
      <c r="U41" s="2" t="s">
        <v>232</v>
      </c>
      <c r="V41" s="40">
        <f t="shared" si="0"/>
        <v>118130.35</v>
      </c>
      <c r="W41" s="15"/>
      <c r="X41" s="17"/>
      <c r="Y41" s="17"/>
      <c r="Z41" s="2" t="s">
        <v>240</v>
      </c>
      <c r="AA41" s="40">
        <f t="shared" si="2"/>
        <v>118130.35</v>
      </c>
      <c r="AB41" s="40" t="str">
        <f>IFERROR(INDEX(#REF!,MATCH(#REF!,#REF!,0)),"")</f>
        <v/>
      </c>
      <c r="AD41" s="19">
        <v>118130.35</v>
      </c>
      <c r="AE41" s="20"/>
      <c r="AF41" s="196"/>
      <c r="AG41" s="196"/>
      <c r="AH41" s="196"/>
      <c r="AI41" s="196"/>
      <c r="AN41" s="59">
        <v>118130.35</v>
      </c>
      <c r="AQ41" s="33">
        <f>SUM(Projects[[#This Row],[2024 Actual]],Projects[[#This Row],[2025 Actual ]])</f>
        <v>118130.35</v>
      </c>
      <c r="AS41" s="173">
        <f>IF(Projects[[#This Row],[WRP Funding Allocated USD]]=0,"-",Projects[[#This Row],[Actual Spend USD]]/Projects[[#This Row],[WRP Funding Allocated USD]])</f>
        <v>1</v>
      </c>
      <c r="AY41" s="150" t="e">
        <f>Projects[[#This Row],[No. Action Completed]]/Projects[[#This Row],[No. Actions Identified]]</f>
        <v>#DIV/0!</v>
      </c>
      <c r="BC41" s="15"/>
      <c r="BD41" s="15"/>
      <c r="BE41" s="17" t="s">
        <v>241</v>
      </c>
      <c r="BF41" s="17" t="s">
        <v>241</v>
      </c>
      <c r="BG41" s="38">
        <v>1</v>
      </c>
      <c r="BH41" s="38">
        <v>1</v>
      </c>
      <c r="BI41" s="64" t="s">
        <v>221</v>
      </c>
      <c r="BJ41" s="64" t="s">
        <v>221</v>
      </c>
      <c r="BK41" s="151" t="s">
        <v>242</v>
      </c>
      <c r="BL41" s="151" t="s">
        <v>119</v>
      </c>
    </row>
    <row r="42" spans="1:64" ht="47.65" customHeight="1">
      <c r="A42" s="32">
        <f>INDEX('Implementation Plan V2 Sep25'!A:A,MATCH(E42,'Implementation Plan V2 Sep25'!F:F,0))</f>
        <v>3</v>
      </c>
      <c r="B42" s="33" t="str">
        <f>INDEX('Implementation Plan V2 Sep25'!C:C,MATCH(E42,'Implementation Plan V2 Sep25'!F:F,0))</f>
        <v>Output 3.1 Interoperable, affordable and resilient observation network progressively remediated, expanded and sustained</v>
      </c>
      <c r="C42" s="33" t="str">
        <f>INDEX('Implementation Plan V2 Sep25'!E:E,MATCH(E42,'Implementation Plan V2 Sep25'!F:F,0))</f>
        <v>3.1.5</v>
      </c>
      <c r="D42" s="33">
        <f>INDEX('Implementation Plan V2 Sep25'!D:D,MATCH(E42,'Implementation Plan V2 Sep25'!F:F,0))</f>
        <v>73</v>
      </c>
      <c r="E42" s="2" t="s">
        <v>83</v>
      </c>
      <c r="F42" s="2" t="s">
        <v>352</v>
      </c>
      <c r="G42" s="2">
        <f>Projects[[#This Row],[Activity Ref]]</f>
        <v>73</v>
      </c>
      <c r="H42" s="45" t="s">
        <v>228</v>
      </c>
      <c r="J42" s="2" t="str">
        <f>IF(OR(ISBLANK(Projects[[#This Row],[Task]]),Projects[[#This Row],[Task]]=0),"",CONCATENATE(Projects[[#This Row],[Phase]],Projects[[#This Row],[Task]]))</f>
        <v>7305</v>
      </c>
      <c r="K42" s="2" t="s">
        <v>214</v>
      </c>
      <c r="L42" s="2" t="s">
        <v>215</v>
      </c>
      <c r="O42" s="2" t="s">
        <v>292</v>
      </c>
      <c r="S42" s="13"/>
      <c r="T42" s="2" t="s">
        <v>353</v>
      </c>
      <c r="U42" s="2" t="s">
        <v>217</v>
      </c>
      <c r="V42" s="40">
        <f t="shared" si="0"/>
        <v>2580774</v>
      </c>
      <c r="W42" s="15"/>
      <c r="X42" s="17"/>
      <c r="Y42" s="17"/>
      <c r="Z42" s="2" t="s">
        <v>218</v>
      </c>
      <c r="AA42" s="40">
        <f t="shared" si="2"/>
        <v>2580774</v>
      </c>
      <c r="AB42" s="40" t="str">
        <f>IFERROR(INDEX(#REF!,MATCH(#REF!,#REF!,0)),"")</f>
        <v/>
      </c>
      <c r="AC42" s="40" t="str">
        <f>IFERROR(INDEX(#REF!,MATCH(#REF!,#REF!,0)),"")</f>
        <v/>
      </c>
      <c r="AD42" s="13"/>
      <c r="AE42" s="237">
        <v>764160</v>
      </c>
      <c r="AF42" s="237">
        <f>2580774-Projects[[#This Row],[2025]]</f>
        <v>1816614</v>
      </c>
      <c r="AG42" s="13"/>
      <c r="AO42" s="13">
        <v>66700</v>
      </c>
      <c r="AP42" s="237">
        <v>764160</v>
      </c>
      <c r="AQ42" s="40">
        <f>SUM(Projects[[#This Row],[2024 Actual]],Projects[[#This Row],[2025 Actual ]])</f>
        <v>764160</v>
      </c>
      <c r="AS42" s="173">
        <f>IF(Projects[[#This Row],[WRP Funding Allocated USD]]=0,"-",Projects[[#This Row],[Actual Spend USD]]/Projects[[#This Row],[WRP Funding Allocated USD]])</f>
        <v>0.29609721734642397</v>
      </c>
      <c r="AY42" s="150" t="e">
        <f>Projects[[#This Row],[No. Action Completed]]/Projects[[#This Row],[No. Actions Identified]]</f>
        <v>#DIV/0!</v>
      </c>
      <c r="BC42" s="15"/>
      <c r="BD42" s="15"/>
      <c r="BE42" s="17" t="s">
        <v>235</v>
      </c>
      <c r="BF42" s="17" t="s">
        <v>235</v>
      </c>
      <c r="BG42" s="38">
        <v>0.1</v>
      </c>
      <c r="BH42" s="38">
        <v>0.1</v>
      </c>
      <c r="BI42" s="64" t="s">
        <v>221</v>
      </c>
      <c r="BJ42" s="64" t="s">
        <v>221</v>
      </c>
      <c r="BK42" s="151" t="s">
        <v>349</v>
      </c>
      <c r="BL42" s="151" t="s">
        <v>119</v>
      </c>
    </row>
    <row r="43" spans="1:64" ht="40.5" customHeight="1">
      <c r="A43" s="32">
        <f>INDEX('Implementation Plan V2 Sep25'!A:A,MATCH(E43,'Implementation Plan V2 Sep25'!F:F,0))</f>
        <v>1</v>
      </c>
      <c r="B43" s="33" t="str">
        <f>INDEX('Implementation Plan V2 Sep25'!C:C,MATCH(E43,'Implementation Plan V2 Sep25'!F:F,0))</f>
        <v>Output 1.1 WRP governance, management and financing mechanisms established, mandated and equipped to coordinate a Pacific-led, integrated, and sustainable programme</v>
      </c>
      <c r="C43" s="33" t="str">
        <f>INDEX('Implementation Plan V2 Sep25'!E:E,MATCH(E43,'Implementation Plan V2 Sep25'!F:F,0))</f>
        <v>1.1.2</v>
      </c>
      <c r="D43" s="33">
        <f>INDEX('Implementation Plan V2 Sep25'!D:D,MATCH(E43,'Implementation Plan V2 Sep25'!F:F,0))</f>
        <v>12</v>
      </c>
      <c r="E43" s="2" t="s">
        <v>19</v>
      </c>
      <c r="F43" s="2" t="s">
        <v>289</v>
      </c>
      <c r="G43" s="2">
        <f>Projects[[#This Row],[Activity Ref]]</f>
        <v>12</v>
      </c>
      <c r="H43" s="45" t="s">
        <v>245</v>
      </c>
      <c r="J43" s="2" t="str">
        <f>IF(OR(ISBLANK(Projects[[#This Row],[Task]]),Projects[[#This Row],[Task]]=0),"",CONCATENATE(Projects[[#This Row],[Phase]],Projects[[#This Row],[Task]]))</f>
        <v>1201</v>
      </c>
      <c r="K43" s="2" t="s">
        <v>214</v>
      </c>
      <c r="L43" s="2" t="s">
        <v>229</v>
      </c>
      <c r="O43" s="2" t="s">
        <v>230</v>
      </c>
      <c r="S43" s="13"/>
      <c r="T43" s="2" t="s">
        <v>216</v>
      </c>
      <c r="U43" s="2" t="s">
        <v>232</v>
      </c>
      <c r="V43" s="40">
        <f t="shared" si="0"/>
        <v>239251.47999999998</v>
      </c>
      <c r="W43" s="15"/>
      <c r="X43" s="17"/>
      <c r="Y43" s="17"/>
      <c r="Z43" s="2" t="s">
        <v>346</v>
      </c>
      <c r="AA43" s="40">
        <f t="shared" si="2"/>
        <v>239251.47999999998</v>
      </c>
      <c r="AB43" s="40" t="str">
        <f>IFERROR(INDEX(#REF!,MATCH(#REF!,#REF!,0)),"")</f>
        <v/>
      </c>
      <c r="AD43" s="19">
        <v>41332.18</v>
      </c>
      <c r="AE43" s="20" t="s">
        <v>354</v>
      </c>
      <c r="AF43" s="196">
        <v>50000</v>
      </c>
      <c r="AG43" s="196">
        <f>13585.21+11000+1127.01+5025.4+17181.68</f>
        <v>47919.299999999996</v>
      </c>
      <c r="AH43" s="196">
        <v>100000</v>
      </c>
      <c r="AI43" s="196"/>
      <c r="AN43" s="13">
        <v>41332.18</v>
      </c>
      <c r="AQ43" s="33">
        <f>SUM(Projects[[#This Row],[2024 Actual]],Projects[[#This Row],[2025 Actual ]])</f>
        <v>41332.18</v>
      </c>
      <c r="AS43" s="173">
        <f>IF(Projects[[#This Row],[WRP Funding Allocated USD]]=0,"-",Projects[[#This Row],[Actual Spend USD]]/Projects[[#This Row],[WRP Funding Allocated USD]])</f>
        <v>0.17275621450701165</v>
      </c>
      <c r="AY43" s="150" t="e">
        <f>Projects[[#This Row],[No. Action Completed]]/Projects[[#This Row],[No. Actions Identified]]</f>
        <v>#DIV/0!</v>
      </c>
      <c r="BC43" s="15"/>
      <c r="BD43" s="15"/>
      <c r="BE43" s="17" t="s">
        <v>220</v>
      </c>
      <c r="BF43" s="17" t="s">
        <v>220</v>
      </c>
      <c r="BG43" s="38">
        <v>0.2</v>
      </c>
      <c r="BH43" s="38">
        <v>0.2</v>
      </c>
      <c r="BI43" s="64" t="s">
        <v>221</v>
      </c>
      <c r="BJ43" s="64" t="s">
        <v>221</v>
      </c>
      <c r="BK43" s="153" t="s">
        <v>242</v>
      </c>
      <c r="BL43" s="153" t="s">
        <v>119</v>
      </c>
    </row>
    <row r="44" spans="1:64" ht="61.15" customHeight="1">
      <c r="A44" s="32">
        <f>INDEX('Implementation Plan V2 Sep25'!A:A,MATCH(E44,'Implementation Plan V2 Sep25'!F:F,0))</f>
        <v>3</v>
      </c>
      <c r="B44" s="33" t="str">
        <f>INDEX('Implementation Plan V2 Sep25'!C:C,MATCH(E44,'Implementation Plan V2 Sep25'!F:F,0))</f>
        <v>Output 3.2 WMO-designated Pacific Regional Instrument Centre established and sustainably managed</v>
      </c>
      <c r="C44" s="33" t="str">
        <f>INDEX('Implementation Plan V2 Sep25'!E:E,MATCH(E44,'Implementation Plan V2 Sep25'!F:F,0))</f>
        <v>3.2.1</v>
      </c>
      <c r="D44" s="33">
        <f>INDEX('Implementation Plan V2 Sep25'!D:D,MATCH(E44,'Implementation Plan V2 Sep25'!F:F,0))</f>
        <v>31</v>
      </c>
      <c r="E44" s="2" t="s">
        <v>67</v>
      </c>
      <c r="F44" s="2" t="s">
        <v>355</v>
      </c>
      <c r="G44" s="2"/>
      <c r="H44" s="45"/>
      <c r="J44" s="2" t="str">
        <f>IF(OR(ISBLANK(Projects[[#This Row],[Task]]),Projects[[#This Row],[Task]]=0),"",CONCATENATE(Projects[[#This Row],[Phase]],Projects[[#This Row],[Task]]))</f>
        <v/>
      </c>
      <c r="K44" s="2" t="s">
        <v>310</v>
      </c>
      <c r="L44" s="2" t="s">
        <v>356</v>
      </c>
      <c r="S44" s="13"/>
      <c r="T44" s="2" t="s">
        <v>216</v>
      </c>
      <c r="V44" s="40">
        <f t="shared" si="0"/>
        <v>1000000</v>
      </c>
      <c r="W44" s="15" t="s">
        <v>356</v>
      </c>
      <c r="X44" s="22">
        <v>1000000</v>
      </c>
      <c r="Y44" s="22"/>
      <c r="Z44" s="2" t="s">
        <v>356</v>
      </c>
      <c r="AA44" s="40">
        <f t="shared" si="2"/>
        <v>0</v>
      </c>
      <c r="AB44" s="40" t="str">
        <f>IFERROR(INDEX(#REF!,MATCH(#REF!,#REF!,0)),"")</f>
        <v/>
      </c>
      <c r="AC44" s="40" t="str">
        <f>IFERROR(INDEX(#REF!,MATCH(#REF!,#REF!,0)),"")</f>
        <v/>
      </c>
      <c r="AD44" s="13"/>
      <c r="AE44" s="13"/>
      <c r="AF44" s="13"/>
      <c r="AG44" s="13"/>
      <c r="AQ44" s="33">
        <f>SUM(Projects[[#This Row],[2024 Actual]],Projects[[#This Row],[2025 Actual ]])</f>
        <v>0</v>
      </c>
      <c r="AS44" s="173" t="str">
        <f>IF(Projects[[#This Row],[WRP Funding Allocated USD]]=0,"-",Projects[[#This Row],[Actual Spend USD]]/Projects[[#This Row],[WRP Funding Allocated USD]])</f>
        <v>-</v>
      </c>
      <c r="AY44" s="150" t="e">
        <f>Projects[[#This Row],[No. Action Completed]]/Projects[[#This Row],[No. Actions Identified]]</f>
        <v>#DIV/0!</v>
      </c>
      <c r="BC44" s="15"/>
      <c r="BD44" s="15"/>
      <c r="BE44" s="17"/>
      <c r="BF44" s="17"/>
      <c r="BG44" s="38" t="s">
        <v>119</v>
      </c>
      <c r="BH44" s="38" t="s">
        <v>119</v>
      </c>
      <c r="BI44" s="64" t="s">
        <v>119</v>
      </c>
      <c r="BJ44" s="64" t="s">
        <v>119</v>
      </c>
      <c r="BK44" s="22"/>
      <c r="BL44" s="22" t="s">
        <v>119</v>
      </c>
    </row>
    <row r="45" spans="1:64" ht="61.15" customHeight="1">
      <c r="A45" s="32">
        <f>INDEX('Implementation Plan V2 Sep25'!A:A,MATCH(E45,'Implementation Plan V2 Sep25'!F:F,0))</f>
        <v>2</v>
      </c>
      <c r="B45" s="33" t="str">
        <f>INDEX('Implementation Plan V2 Sep25'!C:C,MATCH(E45,'Implementation Plan V2 Sep25'!F:F,0))</f>
        <v>OP2.1 WMO-designated Pacific Regional Training Centre established and sustainably managed</v>
      </c>
      <c r="C45" s="33" t="str">
        <f>INDEX('Implementation Plan V2 Sep25'!E:E,MATCH(E45,'Implementation Plan V2 Sep25'!F:F,0))</f>
        <v>2.1.1</v>
      </c>
      <c r="D45" s="33">
        <f>INDEX('Implementation Plan V2 Sep25'!D:D,MATCH(E45,'Implementation Plan V2 Sep25'!F:F,0))</f>
        <v>21</v>
      </c>
      <c r="E45" s="2" t="s">
        <v>43</v>
      </c>
      <c r="F45" s="2" t="s">
        <v>357</v>
      </c>
      <c r="G45" s="2"/>
      <c r="H45" s="45"/>
      <c r="J45" s="2" t="str">
        <f>IF(OR(ISBLANK(Projects[[#This Row],[Task]]),Projects[[#This Row],[Task]]=0),"",CONCATENATE(Projects[[#This Row],[Phase]],Projects[[#This Row],[Task]]))</f>
        <v/>
      </c>
      <c r="K45" s="2" t="s">
        <v>310</v>
      </c>
      <c r="L45" s="2" t="s">
        <v>356</v>
      </c>
      <c r="S45" s="13"/>
      <c r="T45" s="2" t="s">
        <v>216</v>
      </c>
      <c r="V45" s="40">
        <f t="shared" si="0"/>
        <v>1000000</v>
      </c>
      <c r="W45" s="15" t="s">
        <v>356</v>
      </c>
      <c r="X45" s="22">
        <v>1000000</v>
      </c>
      <c r="Y45" s="22"/>
      <c r="Z45" s="2" t="s">
        <v>356</v>
      </c>
      <c r="AA45" s="40">
        <f t="shared" si="2"/>
        <v>0</v>
      </c>
      <c r="AB45" s="40" t="str">
        <f>IFERROR(INDEX(#REF!,MATCH(#REF!,#REF!,0)),"")</f>
        <v/>
      </c>
      <c r="AC45" s="40" t="str">
        <f>IFERROR(INDEX(#REF!,MATCH(#REF!,#REF!,0)),"")</f>
        <v/>
      </c>
      <c r="AD45" s="13"/>
      <c r="AE45" s="13"/>
      <c r="AF45" s="13"/>
      <c r="AG45" s="13"/>
      <c r="AQ45" s="33">
        <f>SUM(Projects[[#This Row],[2024 Actual]],Projects[[#This Row],[2025 Actual ]])</f>
        <v>0</v>
      </c>
      <c r="AS45" s="173" t="str">
        <f>IF(Projects[[#This Row],[WRP Funding Allocated USD]]=0,"-",Projects[[#This Row],[Actual Spend USD]]/Projects[[#This Row],[WRP Funding Allocated USD]])</f>
        <v>-</v>
      </c>
      <c r="AY45" s="150" t="e">
        <f>Projects[[#This Row],[No. Action Completed]]/Projects[[#This Row],[No. Actions Identified]]</f>
        <v>#DIV/0!</v>
      </c>
      <c r="BC45" s="15"/>
      <c r="BD45" s="15"/>
      <c r="BE45" s="17"/>
      <c r="BF45" s="17"/>
      <c r="BG45" s="38" t="s">
        <v>119</v>
      </c>
      <c r="BH45" s="38" t="s">
        <v>119</v>
      </c>
      <c r="BI45" s="64" t="s">
        <v>119</v>
      </c>
      <c r="BJ45" s="64" t="s">
        <v>119</v>
      </c>
      <c r="BK45" s="22" t="s">
        <v>242</v>
      </c>
      <c r="BL45" s="22" t="s">
        <v>119</v>
      </c>
    </row>
    <row r="46" spans="1:64" ht="63" customHeight="1">
      <c r="A46" s="32">
        <f>INDEX('Implementation Plan V2 Sep25'!A:A,MATCH(E46,'Implementation Plan V2 Sep25'!F:F,0))</f>
        <v>3</v>
      </c>
      <c r="B46" s="33" t="str">
        <f>INDEX('Implementation Plan V2 Sep25'!C:C,MATCH(E46,'Implementation Plan V2 Sep25'!F:F,0))</f>
        <v>Output 3.1 Interoperable, affordable and resilient observation network progressively remediated, expanded and sustained</v>
      </c>
      <c r="C46" s="33" t="str">
        <f>INDEX('Implementation Plan V2 Sep25'!E:E,MATCH(E46,'Implementation Plan V2 Sep25'!F:F,0))</f>
        <v>3.1.1</v>
      </c>
      <c r="D46" s="33">
        <f>INDEX('Implementation Plan V2 Sep25'!D:D,MATCH(E46,'Implementation Plan V2 Sep25'!F:F,0))</f>
        <v>32</v>
      </c>
      <c r="E46" s="2" t="s">
        <v>71</v>
      </c>
      <c r="F46" s="2" t="s">
        <v>358</v>
      </c>
      <c r="G46" s="2">
        <f>Projects[[#This Row],[Activity Ref]]</f>
        <v>32</v>
      </c>
      <c r="H46" s="45" t="s">
        <v>285</v>
      </c>
      <c r="J46" s="2" t="str">
        <f>IF(OR(ISBLANK(Projects[[#This Row],[Task]]),Projects[[#This Row],[Task]]=0),"",CONCATENATE(Projects[[#This Row],[Phase]],Projects[[#This Row],[Task]]))</f>
        <v>3202</v>
      </c>
      <c r="K46" s="2" t="s">
        <v>214</v>
      </c>
      <c r="L46" s="2" t="s">
        <v>225</v>
      </c>
      <c r="O46" s="2" t="s">
        <v>292</v>
      </c>
      <c r="Q46" s="7"/>
      <c r="S46" s="13"/>
      <c r="T46" s="2" t="s">
        <v>216</v>
      </c>
      <c r="U46" s="2" t="s">
        <v>217</v>
      </c>
      <c r="V46" s="40">
        <f t="shared" si="0"/>
        <v>102370</v>
      </c>
      <c r="W46" s="15"/>
      <c r="X46" s="17"/>
      <c r="Y46" s="17"/>
      <c r="Z46" s="2" t="s">
        <v>218</v>
      </c>
      <c r="AA46" s="40">
        <f t="shared" si="2"/>
        <v>102370</v>
      </c>
      <c r="AB46" s="40" t="str">
        <f>IFERROR(INDEX(#REF!,MATCH(#REF!,#REF!,0)),"")</f>
        <v/>
      </c>
      <c r="AC46" s="40" t="str">
        <f>IFERROR(INDEX(#REF!,MATCH(#REF!,#REF!,0)),"")</f>
        <v/>
      </c>
      <c r="AD46" s="13"/>
      <c r="AE46" s="237">
        <v>62070</v>
      </c>
      <c r="AF46" s="237">
        <f>176500*0.58-62070</f>
        <v>40300</v>
      </c>
      <c r="AG46" s="13"/>
      <c r="AP46" s="237">
        <v>62070</v>
      </c>
      <c r="AQ46" s="33">
        <f>SUM(Projects[[#This Row],[2024 Actual]],Projects[[#This Row],[2025 Actual ]])</f>
        <v>62070</v>
      </c>
      <c r="AS46" s="173">
        <f>IF(Projects[[#This Row],[WRP Funding Allocated USD]]=0,"-",Projects[[#This Row],[Actual Spend USD]]/Projects[[#This Row],[WRP Funding Allocated USD]])</f>
        <v>0.60632997948617762</v>
      </c>
      <c r="AY46" s="150" t="e">
        <f>Projects[[#This Row],[No. Action Completed]]/Projects[[#This Row],[No. Actions Identified]]</f>
        <v>#DIV/0!</v>
      </c>
      <c r="BC46" s="15"/>
      <c r="BD46" s="15"/>
      <c r="BE46" s="17" t="s">
        <v>220</v>
      </c>
      <c r="BF46" s="17" t="s">
        <v>220</v>
      </c>
      <c r="BG46" s="38">
        <v>0.1</v>
      </c>
      <c r="BH46" s="38">
        <v>0.1</v>
      </c>
      <c r="BI46" s="64" t="s">
        <v>221</v>
      </c>
      <c r="BJ46" s="64" t="s">
        <v>221</v>
      </c>
      <c r="BK46" s="151" t="s">
        <v>242</v>
      </c>
      <c r="BL46" s="151" t="s">
        <v>359</v>
      </c>
    </row>
    <row r="47" spans="1:64" ht="48" customHeight="1">
      <c r="A47" s="32">
        <f>INDEX('Implementation Plan V2 Sep25'!A:A,MATCH(E47,'Implementation Plan V2 Sep25'!F:F,0))</f>
        <v>4</v>
      </c>
      <c r="B47" s="33" t="str">
        <f>INDEX('Implementation Plan V2 Sep25'!C:C,MATCH(E47,'Implementation Plan V2 Sep25'!F:F,0))</f>
        <v>OP4.2 Pacific forecasting capacity expanded and maintained</v>
      </c>
      <c r="C47" s="33" t="str">
        <f>INDEX('Implementation Plan V2 Sep25'!E:E,MATCH(E47,'Implementation Plan V2 Sep25'!F:F,0))</f>
        <v>4.2.1</v>
      </c>
      <c r="D47" s="33">
        <f>INDEX('Implementation Plan V2 Sep25'!D:D,MATCH(E47,'Implementation Plan V2 Sep25'!F:F,0))</f>
        <v>42</v>
      </c>
      <c r="E47" s="2" t="s">
        <v>104</v>
      </c>
      <c r="F47" s="2" t="s">
        <v>360</v>
      </c>
      <c r="G47" s="2">
        <f>Projects[[#This Row],[Activity Ref]]</f>
        <v>42</v>
      </c>
      <c r="H47" s="45" t="s">
        <v>245</v>
      </c>
      <c r="J47" s="2" t="str">
        <f>IF(OR(ISBLANK(Projects[[#This Row],[Task]]),Projects[[#This Row],[Task]]=0),"",CONCATENATE(Projects[[#This Row],[Phase]],Projects[[#This Row],[Task]]))</f>
        <v>4201</v>
      </c>
      <c r="K47" s="2" t="s">
        <v>224</v>
      </c>
      <c r="L47" s="2" t="s">
        <v>229</v>
      </c>
      <c r="O47" s="2" t="s">
        <v>230</v>
      </c>
      <c r="S47" s="13">
        <f>SUM(Projects[[#This Row],[2026 Budget]])</f>
        <v>30000</v>
      </c>
      <c r="T47" s="2" t="s">
        <v>216</v>
      </c>
      <c r="U47" s="2" t="s">
        <v>232</v>
      </c>
      <c r="V47" s="40">
        <f t="shared" si="0"/>
        <v>30000</v>
      </c>
      <c r="W47" s="2"/>
      <c r="X47" s="17"/>
      <c r="Y47" s="17"/>
      <c r="Z47" s="2" t="s">
        <v>248</v>
      </c>
      <c r="AA47" s="40">
        <f t="shared" si="2"/>
        <v>30000</v>
      </c>
      <c r="AB47" s="40" t="str">
        <f>IFERROR(INDEX(#REF!,MATCH(#REF!,#REF!,0)),"")</f>
        <v/>
      </c>
      <c r="AC47" s="40" t="str">
        <f>IFERROR(INDEX(#REF!,MATCH(#REF!,#REF!,0)),"")</f>
        <v/>
      </c>
      <c r="AD47" s="13"/>
      <c r="AE47" s="13"/>
      <c r="AF47" s="195">
        <v>30000</v>
      </c>
      <c r="AG47" s="196"/>
      <c r="AH47" s="196"/>
      <c r="AI47" s="196"/>
      <c r="AQ47" s="33">
        <f>SUM(Projects[[#This Row],[2024 Actual]],Projects[[#This Row],[2025 Actual ]])</f>
        <v>0</v>
      </c>
      <c r="AS47" s="173">
        <f>IF(Projects[[#This Row],[WRP Funding Allocated USD]]=0,"-",Projects[[#This Row],[Actual Spend USD]]/Projects[[#This Row],[WRP Funding Allocated USD]])</f>
        <v>0</v>
      </c>
      <c r="AY47" s="150" t="e">
        <f>Projects[[#This Row],[No. Action Completed]]/Projects[[#This Row],[No. Actions Identified]]</f>
        <v>#DIV/0!</v>
      </c>
      <c r="BC47" s="15"/>
      <c r="BD47" s="15"/>
      <c r="BE47" s="17" t="s">
        <v>249</v>
      </c>
      <c r="BF47" s="17" t="s">
        <v>249</v>
      </c>
      <c r="BG47" s="38">
        <v>0</v>
      </c>
      <c r="BH47" s="38">
        <v>0</v>
      </c>
      <c r="BI47" s="64" t="s">
        <v>119</v>
      </c>
      <c r="BJ47" s="64" t="s">
        <v>119</v>
      </c>
      <c r="BK47" s="18" t="s">
        <v>242</v>
      </c>
      <c r="BL47" s="18" t="s">
        <v>119</v>
      </c>
    </row>
    <row r="48" spans="1:64" ht="57" customHeight="1">
      <c r="A48" s="32">
        <f>INDEX('Implementation Plan V2 Sep25'!A:A,MATCH(E48,'Implementation Plan V2 Sep25'!F:F,0))</f>
        <v>2</v>
      </c>
      <c r="B48" s="33" t="str">
        <f>INDEX('Implementation Plan V2 Sep25'!C:C,MATCH(E48,'Implementation Plan V2 Sep25'!F:F,0))</f>
        <v>OP2.1 WMO-designated Pacific Regional Training Centre established and sustainably managed</v>
      </c>
      <c r="C48" s="33" t="str">
        <f>INDEX('Implementation Plan V2 Sep25'!E:E,MATCH(E48,'Implementation Plan V2 Sep25'!F:F,0))</f>
        <v>2.1.1</v>
      </c>
      <c r="D48" s="33">
        <f>INDEX('Implementation Plan V2 Sep25'!D:D,MATCH(E48,'Implementation Plan V2 Sep25'!F:F,0))</f>
        <v>21</v>
      </c>
      <c r="E48" s="2" t="s">
        <v>43</v>
      </c>
      <c r="F48" s="2" t="s">
        <v>361</v>
      </c>
      <c r="G48" s="2">
        <f>Projects[[#This Row],[Activity Ref]]</f>
        <v>21</v>
      </c>
      <c r="H48" s="45" t="s">
        <v>275</v>
      </c>
      <c r="J48" s="2" t="str">
        <f>IF(OR(ISBLANK(Projects[[#This Row],[Task]]),Projects[[#This Row],[Task]]=0),"",CONCATENATE(Projects[[#This Row],[Phase]],Projects[[#This Row],[Task]]))</f>
        <v>2103</v>
      </c>
      <c r="K48" s="2" t="s">
        <v>214</v>
      </c>
      <c r="L48" s="2" t="s">
        <v>327</v>
      </c>
      <c r="O48" s="2" t="s">
        <v>292</v>
      </c>
      <c r="S48" s="13"/>
      <c r="T48" s="2" t="s">
        <v>216</v>
      </c>
      <c r="U48" s="2" t="s">
        <v>217</v>
      </c>
      <c r="V48" s="40">
        <f t="shared" si="0"/>
        <v>75000</v>
      </c>
      <c r="W48" s="15"/>
      <c r="X48" s="17"/>
      <c r="Y48" s="17"/>
      <c r="Z48" s="2" t="s">
        <v>327</v>
      </c>
      <c r="AA48" s="40">
        <f t="shared" si="2"/>
        <v>75000</v>
      </c>
      <c r="AB48" s="40" t="str">
        <f>IFERROR(INDEX(#REF!,MATCH(#REF!,#REF!,0)),"")</f>
        <v/>
      </c>
      <c r="AC48" s="40" t="str">
        <f>IFERROR(INDEX(#REF!,MATCH(#REF!,#REF!,0)),"")</f>
        <v/>
      </c>
      <c r="AD48" s="13"/>
      <c r="AE48" s="20">
        <v>75000</v>
      </c>
      <c r="AF48" s="13"/>
      <c r="AG48" s="13"/>
      <c r="AQ48" s="33">
        <f>SUM(Projects[[#This Row],[2024 Actual]],Projects[[#This Row],[2025 Actual ]])</f>
        <v>0</v>
      </c>
      <c r="AS48" s="173">
        <f>IF(Projects[[#This Row],[WRP Funding Allocated USD]]=0,"-",Projects[[#This Row],[Actual Spend USD]]/Projects[[#This Row],[WRP Funding Allocated USD]])</f>
        <v>0</v>
      </c>
      <c r="AY48" s="150" t="e">
        <f>Projects[[#This Row],[No. Action Completed]]/Projects[[#This Row],[No. Actions Identified]]</f>
        <v>#DIV/0!</v>
      </c>
      <c r="BC48" s="15"/>
      <c r="BD48" s="15"/>
      <c r="BE48" s="17" t="s">
        <v>220</v>
      </c>
      <c r="BF48" s="17" t="s">
        <v>220</v>
      </c>
      <c r="BG48" s="38">
        <v>0.3</v>
      </c>
      <c r="BH48" s="38">
        <v>0.3</v>
      </c>
      <c r="BI48" s="64" t="s">
        <v>221</v>
      </c>
      <c r="BJ48" s="64" t="s">
        <v>221</v>
      </c>
      <c r="BK48" s="155" t="s">
        <v>242</v>
      </c>
      <c r="BL48" s="155" t="s">
        <v>362</v>
      </c>
    </row>
    <row r="49" spans="1:64" ht="66.75" customHeight="1">
      <c r="A49" s="32">
        <f>INDEX('Implementation Plan V2 Sep25'!A:A,MATCH(E49,'Implementation Plan V2 Sep25'!F:F,0))</f>
        <v>4</v>
      </c>
      <c r="B49" s="33" t="str">
        <f>INDEX('Implementation Plan V2 Sep25'!C:C,MATCH(E49,'Implementation Plan V2 Sep25'!F:F,0))</f>
        <v>OP4.2 Pacific forecasting capacity expanded and maintained</v>
      </c>
      <c r="C49" s="33" t="str">
        <f>INDEX('Implementation Plan V2 Sep25'!E:E,MATCH(E49,'Implementation Plan V2 Sep25'!F:F,0))</f>
        <v>4.2.2</v>
      </c>
      <c r="D49" s="33">
        <f>INDEX('Implementation Plan V2 Sep25'!D:D,MATCH(E49,'Implementation Plan V2 Sep25'!F:F,0))</f>
        <v>43</v>
      </c>
      <c r="E49" s="2" t="s">
        <v>107</v>
      </c>
      <c r="F49" s="2" t="s">
        <v>363</v>
      </c>
      <c r="G49" s="2">
        <f>Projects[[#This Row],[Activity Ref]]</f>
        <v>43</v>
      </c>
      <c r="H49" s="45"/>
      <c r="J49" s="2" t="str">
        <f>IF(OR(ISBLANK(Projects[[#This Row],[Task]]),Projects[[#This Row],[Task]]=0),"",CONCATENATE(Projects[[#This Row],[Phase]],Projects[[#This Row],[Task]]))</f>
        <v/>
      </c>
      <c r="K49" s="2" t="s">
        <v>214</v>
      </c>
      <c r="L49" s="2" t="s">
        <v>215</v>
      </c>
      <c r="S49" s="13"/>
      <c r="T49" s="2" t="s">
        <v>364</v>
      </c>
      <c r="U49" s="2" t="s">
        <v>217</v>
      </c>
      <c r="V49" s="40">
        <f>SUM(X62,AA49)</f>
        <v>597647</v>
      </c>
      <c r="W49" s="15"/>
      <c r="X49" s="17"/>
      <c r="Y49" s="17"/>
      <c r="Z49" s="2" t="s">
        <v>218</v>
      </c>
      <c r="AA49" s="40">
        <f t="shared" si="2"/>
        <v>597647</v>
      </c>
      <c r="AB49" s="40" t="str">
        <f>IFERROR(INDEX(#REF!,MATCH(#REF!,#REF!,0)),"")</f>
        <v/>
      </c>
      <c r="AC49" s="40" t="str">
        <f>IFERROR(INDEX(#REF!,MATCH(#REF!,#REF!,0)),"")</f>
        <v/>
      </c>
      <c r="AD49" s="13">
        <v>331114</v>
      </c>
      <c r="AE49" s="237">
        <f>337025-177689</f>
        <v>159336</v>
      </c>
      <c r="AF49" s="237">
        <f>177689+266533-337025</f>
        <v>107197</v>
      </c>
      <c r="AG49" s="13"/>
      <c r="AN49" s="13">
        <f>464650*2/3</f>
        <v>309766.66666666669</v>
      </c>
      <c r="AO49" s="13">
        <f>464650/3</f>
        <v>154883.33333333334</v>
      </c>
      <c r="AP49" s="237">
        <v>337025</v>
      </c>
      <c r="AQ49" s="40">
        <f>SUM(Projects[[#This Row],[2024 Actual]],Projects[[#This Row],[2025 Actual ]])</f>
        <v>646791.66666666674</v>
      </c>
      <c r="AR49" s="33">
        <v>0</v>
      </c>
      <c r="AS49" s="173">
        <f>IF(Projects[[#This Row],[WRP Funding Allocated USD]]=0,"-",Projects[[#This Row],[Actual Spend USD]]/Projects[[#This Row],[WRP Funding Allocated USD]])</f>
        <v>1.0822302574373615</v>
      </c>
      <c r="AY49" s="150" t="e">
        <f>Projects[[#This Row],[No. Action Completed]]/Projects[[#This Row],[No. Actions Identified]]</f>
        <v>#DIV/0!</v>
      </c>
      <c r="BC49" s="15"/>
      <c r="BD49" s="15"/>
      <c r="BE49" s="17" t="s">
        <v>241</v>
      </c>
      <c r="BF49" s="17" t="s">
        <v>241</v>
      </c>
      <c r="BG49" s="38">
        <v>0.8</v>
      </c>
      <c r="BH49" s="38">
        <v>0.8</v>
      </c>
      <c r="BI49" s="64" t="s">
        <v>221</v>
      </c>
      <c r="BJ49" s="64" t="s">
        <v>221</v>
      </c>
      <c r="BK49" s="153" t="s">
        <v>222</v>
      </c>
      <c r="BL49" s="153" t="s">
        <v>365</v>
      </c>
    </row>
    <row r="50" spans="1:64" ht="66.75" customHeight="1">
      <c r="A50" s="32">
        <f>INDEX('Implementation Plan V2 Sep25'!A:A,MATCH(E50,'Implementation Plan V2 Sep25'!F:F,0))</f>
        <v>2</v>
      </c>
      <c r="B50" s="33" t="str">
        <f>INDEX('Implementation Plan V2 Sep25'!C:C,MATCH(E50,'Implementation Plan V2 Sep25'!F:F,0))</f>
        <v>OP2.3 Continuous learning and mentoring opportunities provided</v>
      </c>
      <c r="C50" s="33" t="str">
        <f>INDEX('Implementation Plan V2 Sep25'!E:E,MATCH(E50,'Implementation Plan V2 Sep25'!F:F,0))</f>
        <v>2.3.1</v>
      </c>
      <c r="D50" s="33">
        <f>INDEX('Implementation Plan V2 Sep25'!D:D,MATCH(E50,'Implementation Plan V2 Sep25'!F:F,0))</f>
        <v>28</v>
      </c>
      <c r="E50" s="2" t="s">
        <v>62</v>
      </c>
      <c r="F50" s="2" t="s">
        <v>366</v>
      </c>
      <c r="G50" s="2">
        <f>Projects[[#This Row],[Activity Ref]]</f>
        <v>28</v>
      </c>
      <c r="H50" s="2"/>
      <c r="J50" s="2" t="str">
        <f>IF(OR(ISBLANK(Projects[[#This Row],[Task]]),Projects[[#This Row],[Task]]=0),"",CONCATENATE(Projects[[#This Row],[Phase]],Projects[[#This Row],[Task]]))</f>
        <v/>
      </c>
      <c r="K50" s="2" t="s">
        <v>214</v>
      </c>
      <c r="L50" s="2" t="s">
        <v>215</v>
      </c>
      <c r="S50" s="13">
        <f>SUM(Projects[[#This Row],[2025]])</f>
        <v>177689</v>
      </c>
      <c r="T50" s="2" t="s">
        <v>364</v>
      </c>
      <c r="U50" s="2" t="s">
        <v>217</v>
      </c>
      <c r="V50" s="40">
        <f>SUM(X63,AA50)</f>
        <v>398431</v>
      </c>
      <c r="W50" s="15"/>
      <c r="X50" s="17"/>
      <c r="Y50" s="17"/>
      <c r="Z50" s="2" t="s">
        <v>218</v>
      </c>
      <c r="AA50" s="40">
        <f t="shared" si="2"/>
        <v>398431</v>
      </c>
      <c r="AB50" s="40" t="str">
        <f>IFERROR(INDEX(#REF!,MATCH(#REF!,#REF!,0)),"")</f>
        <v/>
      </c>
      <c r="AC50" s="40" t="str">
        <f>IFERROR(INDEX(#REF!,MATCH(#REF!,#REF!,0)),"")</f>
        <v/>
      </c>
      <c r="AD50" s="13">
        <v>220742</v>
      </c>
      <c r="AE50" s="20">
        <v>177689</v>
      </c>
      <c r="AF50" s="13"/>
      <c r="AG50" s="13"/>
      <c r="AN50" s="13">
        <f>309767*2/3</f>
        <v>206511.33333333334</v>
      </c>
      <c r="AO50" s="13">
        <f>309767/3</f>
        <v>103255.66666666667</v>
      </c>
      <c r="AP50" s="19"/>
      <c r="AQ50" s="40">
        <f>SUM(Projects[[#This Row],[2024 Actual]],Projects[[#This Row],[2025 Actual ]])</f>
        <v>206511.33333333334</v>
      </c>
      <c r="AR50" s="33">
        <v>0</v>
      </c>
      <c r="AS50" s="173">
        <f>IF(Projects[[#This Row],[WRP Funding Allocated USD]]=0,"-",Projects[[#This Row],[Actual Spend USD]]/Projects[[#This Row],[WRP Funding Allocated USD]])</f>
        <v>0.51831140983842461</v>
      </c>
      <c r="AY50" s="150" t="e">
        <f>Projects[[#This Row],[No. Action Completed]]/Projects[[#This Row],[No. Actions Identified]]</f>
        <v>#DIV/0!</v>
      </c>
      <c r="BC50" s="15"/>
      <c r="BD50" s="15"/>
      <c r="BE50" s="17" t="s">
        <v>241</v>
      </c>
      <c r="BF50" s="17" t="s">
        <v>241</v>
      </c>
      <c r="BG50" s="38">
        <v>0.8</v>
      </c>
      <c r="BH50" s="38">
        <v>0.8</v>
      </c>
      <c r="BI50" s="64" t="s">
        <v>221</v>
      </c>
      <c r="BJ50" s="64" t="s">
        <v>221</v>
      </c>
      <c r="BK50" s="153" t="s">
        <v>242</v>
      </c>
      <c r="BL50" s="153" t="s">
        <v>365</v>
      </c>
    </row>
    <row r="51" spans="1:64" ht="66.75" customHeight="1">
      <c r="A51" s="32">
        <f>INDEX('Implementation Plan V2 Sep25'!A:A,MATCH(E51,'Implementation Plan V2 Sep25'!F:F,0))</f>
        <v>2</v>
      </c>
      <c r="B51" s="33" t="str">
        <f>INDEX('Implementation Plan V2 Sep25'!C:C,MATCH(E51,'Implementation Plan V2 Sep25'!F:F,0))</f>
        <v>OP2.3 Continuous learning and mentoring opportunities provided</v>
      </c>
      <c r="C51" s="33" t="str">
        <f>INDEX('Implementation Plan V2 Sep25'!E:E,MATCH(E51,'Implementation Plan V2 Sep25'!F:F,0))</f>
        <v>2.3.1</v>
      </c>
      <c r="D51" s="33">
        <f>INDEX('Implementation Plan V2 Sep25'!D:D,MATCH(E51,'Implementation Plan V2 Sep25'!F:F,0))</f>
        <v>28</v>
      </c>
      <c r="E51" s="2" t="s">
        <v>62</v>
      </c>
      <c r="F51" s="2" t="s">
        <v>367</v>
      </c>
      <c r="G51" s="2">
        <f>Projects[[#This Row],[Activity Ref]]</f>
        <v>28</v>
      </c>
      <c r="H51" s="2"/>
      <c r="J51" s="2" t="str">
        <f>IF(OR(ISBLANK(Projects[[#This Row],[Task]]),Projects[[#This Row],[Task]]=0),"",CONCATENATE(Projects[[#This Row],[Phase]],Projects[[#This Row],[Task]]))</f>
        <v/>
      </c>
      <c r="K51" s="2" t="s">
        <v>214</v>
      </c>
      <c r="L51" s="2" t="s">
        <v>229</v>
      </c>
      <c r="S51" s="13">
        <f>SUM(Projects[[#This Row],[2025]])</f>
        <v>0</v>
      </c>
      <c r="T51" s="2" t="s">
        <v>216</v>
      </c>
      <c r="U51" s="2" t="s">
        <v>232</v>
      </c>
      <c r="V51" s="40">
        <f>SUM(X64,AA51)</f>
        <v>0</v>
      </c>
      <c r="W51" s="15"/>
      <c r="X51" s="17"/>
      <c r="Y51" s="17"/>
      <c r="Z51" s="2" t="s">
        <v>248</v>
      </c>
      <c r="AA51" s="40">
        <f t="shared" si="2"/>
        <v>0</v>
      </c>
      <c r="AB51" s="40" t="str">
        <f>IFERROR(INDEX(#REF!,MATCH(#REF!,#REF!,0)),"")</f>
        <v/>
      </c>
      <c r="AC51" s="40" t="str">
        <f>IFERROR(INDEX(#REF!,MATCH(#REF!,#REF!,0)),"")</f>
        <v/>
      </c>
      <c r="AD51" s="13"/>
      <c r="AE51" s="13"/>
      <c r="AF51" s="13"/>
      <c r="AG51" s="13"/>
      <c r="AQ51" s="33">
        <f>SUM(Projects[[#This Row],[2024 Actual]],Projects[[#This Row],[2025 Actual ]])</f>
        <v>0</v>
      </c>
      <c r="AR51" s="40"/>
      <c r="AS51" s="173" t="str">
        <f>IF(Projects[[#This Row],[WRP Funding Allocated USD]]=0,"-",Projects[[#This Row],[Actual Spend USD]]/Projects[[#This Row],[WRP Funding Allocated USD]])</f>
        <v>-</v>
      </c>
      <c r="AY51" s="150" t="e">
        <f>Projects[[#This Row],[No. Action Completed]]/Projects[[#This Row],[No. Actions Identified]]</f>
        <v>#DIV/0!</v>
      </c>
      <c r="BC51" s="15"/>
      <c r="BD51" s="15"/>
      <c r="BE51" s="17" t="s">
        <v>249</v>
      </c>
      <c r="BF51" s="17" t="s">
        <v>249</v>
      </c>
      <c r="BG51" s="38">
        <v>0</v>
      </c>
      <c r="BH51" s="38">
        <v>0</v>
      </c>
      <c r="BI51" s="64" t="s">
        <v>119</v>
      </c>
      <c r="BJ51" s="64" t="s">
        <v>119</v>
      </c>
      <c r="BK51" s="157" t="s">
        <v>242</v>
      </c>
      <c r="BL51" s="157" t="s">
        <v>368</v>
      </c>
    </row>
    <row r="52" spans="1:64" ht="49.5" customHeight="1">
      <c r="A52" s="32">
        <f>INDEX('Implementation Plan V2 Sep25'!A:A,MATCH(E52,'Implementation Plan V2 Sep25'!F:F,0))</f>
        <v>4</v>
      </c>
      <c r="B52" s="33" t="str">
        <f>INDEX('Implementation Plan V2 Sep25'!C:C,MATCH(E52,'Implementation Plan V2 Sep25'!F:F,0))</f>
        <v>Output 4.1 An integrated Pacific forecasting platform established and operating sustainably to global standards</v>
      </c>
      <c r="C52" s="33" t="str">
        <f>INDEX('Implementation Plan V2 Sep25'!E:E,MATCH(E52,'Implementation Plan V2 Sep25'!F:F,0))</f>
        <v>4.1.1</v>
      </c>
      <c r="D52" s="33">
        <f>INDEX('Implementation Plan V2 Sep25'!D:D,MATCH(E52,'Implementation Plan V2 Sep25'!F:F,0))</f>
        <v>41</v>
      </c>
      <c r="E52" s="2" t="s">
        <v>100</v>
      </c>
      <c r="F52" s="7" t="s">
        <v>369</v>
      </c>
      <c r="G52" s="7">
        <f>Projects[[#This Row],[Activity Ref]]</f>
        <v>41</v>
      </c>
      <c r="H52" s="45" t="s">
        <v>275</v>
      </c>
      <c r="I52" s="2">
        <v>2601</v>
      </c>
      <c r="J52" s="2" t="str">
        <f>IF(OR(ISBLANK(Projects[[#This Row],[Task]]),Projects[[#This Row],[Task]]=0),"",CONCATENATE(Projects[[#This Row],[Phase]],Projects[[#This Row],[Task]]))</f>
        <v>4103</v>
      </c>
      <c r="K52" s="2" t="s">
        <v>224</v>
      </c>
      <c r="L52" s="2" t="s">
        <v>229</v>
      </c>
      <c r="O52" s="2" t="s">
        <v>230</v>
      </c>
      <c r="S52" s="13"/>
      <c r="T52" s="2" t="s">
        <v>216</v>
      </c>
      <c r="U52" s="2" t="s">
        <v>232</v>
      </c>
      <c r="V52" s="40">
        <f t="shared" ref="V52:V83" si="3">SUM(X52,AA52)</f>
        <v>26956.521739130436</v>
      </c>
      <c r="W52" s="15"/>
      <c r="X52" s="17"/>
      <c r="Y52" s="17"/>
      <c r="Z52" s="2" t="s">
        <v>233</v>
      </c>
      <c r="AA52" s="40">
        <f t="shared" si="2"/>
        <v>26956.521739130436</v>
      </c>
      <c r="AB52" s="40" t="str">
        <f>IFERROR(INDEX(#REF!,MATCH(#REF!,#REF!,0)),"")</f>
        <v/>
      </c>
      <c r="AC52" s="40" t="str">
        <f>IFERROR(INDEX(#REF!,MATCH(#REF!,#REF!,0)),"")</f>
        <v/>
      </c>
      <c r="AD52" s="13"/>
      <c r="AE52" s="13"/>
      <c r="AF52" s="196">
        <f>31000/1.15</f>
        <v>26956.521739130436</v>
      </c>
      <c r="AG52" s="196"/>
      <c r="AH52" s="196"/>
      <c r="AI52" s="196"/>
      <c r="AQ52" s="33">
        <f>SUM(Projects[[#This Row],[2024 Actual]],Projects[[#This Row],[2025 Actual ]])</f>
        <v>0</v>
      </c>
      <c r="AS52" s="173">
        <f>IF(Projects[[#This Row],[WRP Funding Allocated USD]]=0,"-",Projects[[#This Row],[Actual Spend USD]]/Projects[[#This Row],[WRP Funding Allocated USD]])</f>
        <v>0</v>
      </c>
      <c r="AY52" s="150" t="e">
        <f>Projects[[#This Row],[No. Action Completed]]/Projects[[#This Row],[No. Actions Identified]]</f>
        <v>#DIV/0!</v>
      </c>
      <c r="BC52" s="15"/>
      <c r="BD52" s="15"/>
      <c r="BE52" s="17" t="s">
        <v>249</v>
      </c>
      <c r="BF52" s="17" t="s">
        <v>249</v>
      </c>
      <c r="BG52" s="38">
        <v>0</v>
      </c>
      <c r="BH52" s="38">
        <v>0</v>
      </c>
      <c r="BI52" s="64" t="s">
        <v>119</v>
      </c>
      <c r="BJ52" s="64" t="s">
        <v>119</v>
      </c>
      <c r="BK52" s="22" t="s">
        <v>242</v>
      </c>
      <c r="BL52" s="22" t="s">
        <v>119</v>
      </c>
    </row>
    <row r="53" spans="1:64" ht="40.5" customHeight="1">
      <c r="A53" s="32">
        <f>INDEX('Implementation Plan V2 Sep25'!A:A,MATCH(E53,'Implementation Plan V2 Sep25'!F:F,0))</f>
        <v>2</v>
      </c>
      <c r="B53" s="33" t="str">
        <f>INDEX('Implementation Plan V2 Sep25'!C:C,MATCH(E53,'Implementation Plan V2 Sep25'!F:F,0))</f>
        <v>OP2.2 Inclusive leadership and technical capability strengthening programmes established and delivering ongoing training to industry standards</v>
      </c>
      <c r="C53" s="33" t="str">
        <f>INDEX('Implementation Plan V2 Sep25'!E:E,MATCH(E53,'Implementation Plan V2 Sep25'!F:F,0))</f>
        <v>2.2.1</v>
      </c>
      <c r="D53" s="33">
        <f>INDEX('Implementation Plan V2 Sep25'!D:D,MATCH(E53,'Implementation Plan V2 Sep25'!F:F,0))</f>
        <v>22</v>
      </c>
      <c r="E53" s="2" t="s">
        <v>47</v>
      </c>
      <c r="F53" s="2" t="s">
        <v>370</v>
      </c>
      <c r="G53" s="2">
        <f>Projects[[#This Row],[Activity Ref]]</f>
        <v>22</v>
      </c>
      <c r="H53" s="45" t="s">
        <v>285</v>
      </c>
      <c r="J53" s="2" t="str">
        <f>IF(OR(ISBLANK(Projects[[#This Row],[Task]]),Projects[[#This Row],[Task]]=0),"",CONCATENATE(Projects[[#This Row],[Phase]],Projects[[#This Row],[Task]]))</f>
        <v>2202</v>
      </c>
      <c r="K53" s="2" t="s">
        <v>224</v>
      </c>
      <c r="L53" s="2" t="s">
        <v>280</v>
      </c>
      <c r="O53" s="2" t="s">
        <v>251</v>
      </c>
      <c r="S53" s="13">
        <f>SUM(Projects[[#This Row],[2025]])</f>
        <v>76226.37</v>
      </c>
      <c r="T53" s="2" t="s">
        <v>307</v>
      </c>
      <c r="U53" s="2" t="s">
        <v>232</v>
      </c>
      <c r="V53" s="40">
        <f t="shared" si="3"/>
        <v>139379</v>
      </c>
      <c r="W53" s="15"/>
      <c r="X53" s="17"/>
      <c r="Y53" s="17"/>
      <c r="Z53" s="2" t="s">
        <v>248</v>
      </c>
      <c r="AA53" s="40">
        <f t="shared" si="2"/>
        <v>139379</v>
      </c>
      <c r="AB53" s="40" t="str">
        <f>IFERROR(INDEX(#REF!,MATCH(#REF!,#REF!,0)),"")</f>
        <v/>
      </c>
      <c r="AC53" s="40" t="str">
        <f>IFERROR(INDEX(#REF!,MATCH(#REF!,#REF!,0)),"")</f>
        <v/>
      </c>
      <c r="AD53" s="13"/>
      <c r="AE53" s="19">
        <v>76226.37</v>
      </c>
      <c r="AF53" s="19">
        <v>63152.630000000005</v>
      </c>
      <c r="AG53" s="13"/>
      <c r="AO53" s="13">
        <v>76226.37</v>
      </c>
      <c r="AP53" s="13">
        <f>Projects[[#This Row],[2025]]</f>
        <v>76226.37</v>
      </c>
      <c r="AQ53" s="33">
        <f>SUM(Projects[[#This Row],[2024 Actual]],Projects[[#This Row],[2025 Actual ]])</f>
        <v>76226.37</v>
      </c>
      <c r="AS53" s="173">
        <f>IF(Projects[[#This Row],[WRP Funding Allocated USD]]=0,"-",Projects[[#This Row],[Actual Spend USD]]/Projects[[#This Row],[WRP Funding Allocated USD]])</f>
        <v>0.54689996340912184</v>
      </c>
      <c r="AY53" s="150" t="e">
        <f>Projects[[#This Row],[No. Action Completed]]/Projects[[#This Row],[No. Actions Identified]]</f>
        <v>#DIV/0!</v>
      </c>
      <c r="BC53" s="15"/>
      <c r="BD53" s="15"/>
      <c r="BE53" s="17" t="s">
        <v>241</v>
      </c>
      <c r="BF53" s="17" t="s">
        <v>241</v>
      </c>
      <c r="BG53" s="38">
        <v>1</v>
      </c>
      <c r="BH53" s="38">
        <v>1</v>
      </c>
      <c r="BI53" s="64" t="s">
        <v>221</v>
      </c>
      <c r="BJ53" s="64" t="s">
        <v>221</v>
      </c>
      <c r="BK53" s="151" t="s">
        <v>371</v>
      </c>
      <c r="BL53" s="151" t="s">
        <v>372</v>
      </c>
    </row>
    <row r="54" spans="1:64" ht="40.5" customHeight="1">
      <c r="A54" s="32">
        <f>INDEX('Implementation Plan V2 Sep25'!A:A,MATCH(E54,'Implementation Plan V2 Sep25'!F:F,0))</f>
        <v>2</v>
      </c>
      <c r="B54" s="33" t="str">
        <f>INDEX('Implementation Plan V2 Sep25'!C:C,MATCH(E54,'Implementation Plan V2 Sep25'!F:F,0))</f>
        <v>OP2.2 Inclusive leadership and technical capability strengthening programmes established and delivering ongoing training to industry standards</v>
      </c>
      <c r="C54" s="33" t="str">
        <f>INDEX('Implementation Plan V2 Sep25'!E:E,MATCH(E54,'Implementation Plan V2 Sep25'!F:F,0))</f>
        <v>2.2.1</v>
      </c>
      <c r="D54" s="33">
        <f>INDEX('Implementation Plan V2 Sep25'!D:D,MATCH(E54,'Implementation Plan V2 Sep25'!F:F,0))</f>
        <v>22</v>
      </c>
      <c r="E54" s="2" t="s">
        <v>47</v>
      </c>
      <c r="F54" s="2" t="s">
        <v>373</v>
      </c>
      <c r="G54" s="2">
        <f>Projects[[#This Row],[Activity Ref]]</f>
        <v>22</v>
      </c>
      <c r="H54" s="45" t="s">
        <v>285</v>
      </c>
      <c r="I54" s="2">
        <v>2507</v>
      </c>
      <c r="J54" s="2" t="str">
        <f>IF(OR(ISBLANK(Projects[[#This Row],[Task]]),Projects[[#This Row],[Task]]=0),"",CONCATENATE(Projects[[#This Row],[Phase]],Projects[[#This Row],[Task]]))</f>
        <v>2202</v>
      </c>
      <c r="K54" s="2" t="s">
        <v>224</v>
      </c>
      <c r="L54" s="2" t="s">
        <v>280</v>
      </c>
      <c r="O54" s="2" t="s">
        <v>251</v>
      </c>
      <c r="Q54" s="2">
        <v>2025</v>
      </c>
      <c r="R54" s="2" t="s">
        <v>374</v>
      </c>
      <c r="S54" s="13">
        <f>Projects[[#This Row],[2026 Budget]]/2</f>
        <v>90000</v>
      </c>
      <c r="T54" s="2" t="s">
        <v>119</v>
      </c>
      <c r="U54" s="2" t="s">
        <v>232</v>
      </c>
      <c r="V54" s="40">
        <f t="shared" si="3"/>
        <v>360000</v>
      </c>
      <c r="W54" s="15"/>
      <c r="X54" s="17"/>
      <c r="Y54" s="17"/>
      <c r="Z54" s="2" t="s">
        <v>248</v>
      </c>
      <c r="AA54" s="40">
        <f t="shared" si="2"/>
        <v>360000</v>
      </c>
      <c r="AB54" s="40" t="str">
        <f>IFERROR(INDEX(#REF!,MATCH(#REF!,#REF!,0)),"")</f>
        <v/>
      </c>
      <c r="AC54" s="40" t="str">
        <f>IFERROR(INDEX(#REF!,MATCH(#REF!,#REF!,0)),"")</f>
        <v/>
      </c>
      <c r="AD54" s="13"/>
      <c r="AE54" s="20"/>
      <c r="AF54" s="19">
        <f>45000*4</f>
        <v>180000</v>
      </c>
      <c r="AG54" s="20">
        <f>45000*4</f>
        <v>180000</v>
      </c>
      <c r="AH54" s="19"/>
      <c r="AI54" s="19"/>
      <c r="AQ54" s="33">
        <f>SUM(Projects[[#This Row],[2024 Actual]],Projects[[#This Row],[2025 Actual ]])</f>
        <v>0</v>
      </c>
      <c r="AS54" s="173">
        <f>IF(Projects[[#This Row],[WRP Funding Allocated USD]]=0,"-",Projects[[#This Row],[Actual Spend USD]]/Projects[[#This Row],[WRP Funding Allocated USD]])</f>
        <v>0</v>
      </c>
      <c r="AY54" s="150" t="e">
        <f>Projects[[#This Row],[No. Action Completed]]/Projects[[#This Row],[No. Actions Identified]]</f>
        <v>#DIV/0!</v>
      </c>
      <c r="BC54" s="15"/>
      <c r="BD54" s="15"/>
      <c r="BE54" s="17" t="s">
        <v>220</v>
      </c>
      <c r="BF54" s="17" t="s">
        <v>297</v>
      </c>
      <c r="BG54" s="38">
        <v>0.05</v>
      </c>
      <c r="BH54" s="38">
        <v>0.05</v>
      </c>
      <c r="BI54" s="64" t="s">
        <v>221</v>
      </c>
      <c r="BJ54" s="64" t="s">
        <v>221</v>
      </c>
      <c r="BK54" s="151" t="s">
        <v>242</v>
      </c>
      <c r="BL54" s="151" t="s">
        <v>375</v>
      </c>
    </row>
    <row r="55" spans="1:64" ht="75.75" customHeight="1">
      <c r="A55" s="32">
        <f>INDEX('Implementation Plan V2 Sep25'!A:A,MATCH(E55,'Implementation Plan V2 Sep25'!F:F,0))</f>
        <v>2</v>
      </c>
      <c r="B55" s="33" t="str">
        <f>INDEX('Implementation Plan V2 Sep25'!C:C,MATCH(E55,'Implementation Plan V2 Sep25'!F:F,0))</f>
        <v>OP2.2 Inclusive leadership and technical capability strengthening programmes established and delivering ongoing training to industry standards</v>
      </c>
      <c r="C55" s="33" t="str">
        <f>INDEX('Implementation Plan V2 Sep25'!E:E,MATCH(E55,'Implementation Plan V2 Sep25'!F:F,0))</f>
        <v>2.2.2</v>
      </c>
      <c r="D55" s="33">
        <f>INDEX('Implementation Plan V2 Sep25'!D:D,MATCH(E55,'Implementation Plan V2 Sep25'!F:F,0))</f>
        <v>23</v>
      </c>
      <c r="E55" s="2" t="s">
        <v>49</v>
      </c>
      <c r="F55" s="2" t="s">
        <v>376</v>
      </c>
      <c r="G55" s="2">
        <f>Projects[[#This Row],[Activity Ref]]</f>
        <v>23</v>
      </c>
      <c r="H55" s="45" t="s">
        <v>245</v>
      </c>
      <c r="J55" s="2" t="str">
        <f>IF(OR(ISBLANK(Projects[[#This Row],[Task]]),Projects[[#This Row],[Task]]=0),"",CONCATENATE(Projects[[#This Row],[Phase]],Projects[[#This Row],[Task]]))</f>
        <v>2301</v>
      </c>
      <c r="K55" s="2" t="s">
        <v>224</v>
      </c>
      <c r="L55" s="28" t="s">
        <v>377</v>
      </c>
      <c r="M55" s="7"/>
      <c r="N55" s="28"/>
      <c r="O55" s="60" t="s">
        <v>251</v>
      </c>
      <c r="P55" s="60"/>
      <c r="Q55" s="60">
        <v>2025</v>
      </c>
      <c r="R55" s="37" t="s">
        <v>378</v>
      </c>
      <c r="S55" s="13">
        <f>SUM(Projects[[#This Row],[2025]])</f>
        <v>0</v>
      </c>
      <c r="T55" s="2" t="s">
        <v>119</v>
      </c>
      <c r="U55" s="2" t="s">
        <v>232</v>
      </c>
      <c r="V55" s="40">
        <f t="shared" si="3"/>
        <v>110000</v>
      </c>
      <c r="W55" s="15"/>
      <c r="X55" s="17"/>
      <c r="Y55" s="17"/>
      <c r="Z55" s="2" t="s">
        <v>248</v>
      </c>
      <c r="AA55" s="40">
        <f t="shared" si="2"/>
        <v>110000</v>
      </c>
      <c r="AB55" s="40" t="str">
        <f>IFERROR(INDEX(#REF!,MATCH(#REF!,#REF!,0)),"")</f>
        <v/>
      </c>
      <c r="AC55" s="40" t="str">
        <f>IFERROR(INDEX(#REF!,MATCH(#REF!,#REF!,0)),"")</f>
        <v/>
      </c>
      <c r="AD55" s="13"/>
      <c r="AE55" s="20"/>
      <c r="AF55" s="20">
        <v>30000</v>
      </c>
      <c r="AG55" s="20">
        <v>80000</v>
      </c>
      <c r="AH55" s="19"/>
      <c r="AI55" s="19"/>
      <c r="AQ55" s="33">
        <f>SUM(Projects[[#This Row],[2024 Actual]],Projects[[#This Row],[2025 Actual ]])</f>
        <v>0</v>
      </c>
      <c r="AS55" s="173">
        <f>IF(Projects[[#This Row],[WRP Funding Allocated USD]]=0,"-",Projects[[#This Row],[Actual Spend USD]]/Projects[[#This Row],[WRP Funding Allocated USD]])</f>
        <v>0</v>
      </c>
      <c r="AY55" s="150" t="e">
        <f>Projects[[#This Row],[No. Action Completed]]/Projects[[#This Row],[No. Actions Identified]]</f>
        <v>#DIV/0!</v>
      </c>
      <c r="BC55" s="15"/>
      <c r="BD55" s="15"/>
      <c r="BE55" s="17" t="s">
        <v>235</v>
      </c>
      <c r="BF55" s="17" t="s">
        <v>235</v>
      </c>
      <c r="BG55" s="38">
        <v>0.05</v>
      </c>
      <c r="BH55" s="38">
        <v>0.05</v>
      </c>
      <c r="BI55" s="64" t="s">
        <v>221</v>
      </c>
      <c r="BJ55" s="64" t="s">
        <v>221</v>
      </c>
      <c r="BK55" s="151" t="s">
        <v>379</v>
      </c>
      <c r="BL55" s="151" t="s">
        <v>380</v>
      </c>
    </row>
    <row r="56" spans="1:64" ht="56.65" customHeight="1">
      <c r="A56" s="32">
        <f>INDEX('Implementation Plan V2 Sep25'!A:A,MATCH(E56,'Implementation Plan V2 Sep25'!F:F,0))</f>
        <v>2</v>
      </c>
      <c r="B56" s="33" t="str">
        <f>INDEX('Implementation Plan V2 Sep25'!C:C,MATCH(E56,'Implementation Plan V2 Sep25'!F:F,0))</f>
        <v>OP2.2 Inclusive leadership and technical capability strengthening programmes established and delivering ongoing training to industry standards</v>
      </c>
      <c r="C56" s="33" t="str">
        <f>INDEX('Implementation Plan V2 Sep25'!E:E,MATCH(E56,'Implementation Plan V2 Sep25'!F:F,0))</f>
        <v>2.2.1</v>
      </c>
      <c r="D56" s="33">
        <f>INDEX('Implementation Plan V2 Sep25'!D:D,MATCH(E56,'Implementation Plan V2 Sep25'!F:F,0))</f>
        <v>22</v>
      </c>
      <c r="E56" s="2" t="s">
        <v>47</v>
      </c>
      <c r="F56" s="2" t="s">
        <v>381</v>
      </c>
      <c r="G56" s="2">
        <f>Projects[[#This Row],[Activity Ref]]</f>
        <v>22</v>
      </c>
      <c r="H56" s="45" t="s">
        <v>275</v>
      </c>
      <c r="J56" s="2" t="str">
        <f>IF(OR(ISBLANK(Projects[[#This Row],[Task]]),Projects[[#This Row],[Task]]=0),"",CONCATENATE(Projects[[#This Row],[Phase]],Projects[[#This Row],[Task]]))</f>
        <v>2203</v>
      </c>
      <c r="K56" s="2" t="s">
        <v>224</v>
      </c>
      <c r="L56" s="2" t="s">
        <v>382</v>
      </c>
      <c r="O56" s="7" t="s">
        <v>251</v>
      </c>
      <c r="P56" s="7"/>
      <c r="Q56" s="2">
        <v>2025</v>
      </c>
      <c r="R56" s="2" t="s">
        <v>383</v>
      </c>
      <c r="S56" s="13"/>
      <c r="T56" s="2" t="s">
        <v>119</v>
      </c>
      <c r="U56" s="2" t="s">
        <v>232</v>
      </c>
      <c r="V56" s="40">
        <f t="shared" si="3"/>
        <v>92973.75</v>
      </c>
      <c r="W56" s="15"/>
      <c r="X56" s="17"/>
      <c r="Y56" s="17"/>
      <c r="Z56" s="2" t="s">
        <v>248</v>
      </c>
      <c r="AA56" s="40">
        <f t="shared" si="2"/>
        <v>92973.75</v>
      </c>
      <c r="AB56" s="40" t="str">
        <f>IFERROR(INDEX(#REF!,MATCH(#REF!,#REF!,0)),"")</f>
        <v/>
      </c>
      <c r="AC56" s="40" t="str">
        <f>IFERROR(INDEX(#REF!,MATCH(#REF!,#REF!,0)),"")</f>
        <v/>
      </c>
      <c r="AD56" s="13"/>
      <c r="AE56" s="13"/>
      <c r="AF56" s="19">
        <f>150000*0.619825</f>
        <v>92973.75</v>
      </c>
      <c r="AG56" s="13"/>
      <c r="AQ56" s="33">
        <f>SUM(Projects[[#This Row],[2024 Actual]],Projects[[#This Row],[2025 Actual ]])</f>
        <v>0</v>
      </c>
      <c r="AS56" s="173">
        <f>IF(Projects[[#This Row],[WRP Funding Allocated USD]]=0,"-",Projects[[#This Row],[Actual Spend USD]]/Projects[[#This Row],[WRP Funding Allocated USD]])</f>
        <v>0</v>
      </c>
      <c r="AY56" s="150" t="e">
        <f>Projects[[#This Row],[No. Action Completed]]/Projects[[#This Row],[No. Actions Identified]]</f>
        <v>#DIV/0!</v>
      </c>
      <c r="BC56" s="15"/>
      <c r="BD56" s="15"/>
      <c r="BE56" s="17" t="s">
        <v>276</v>
      </c>
      <c r="BF56" s="17" t="s">
        <v>276</v>
      </c>
      <c r="BG56" s="38">
        <v>0</v>
      </c>
      <c r="BH56" s="38">
        <v>0</v>
      </c>
      <c r="BI56" s="64" t="s">
        <v>119</v>
      </c>
      <c r="BJ56" s="64" t="s">
        <v>119</v>
      </c>
      <c r="BK56" s="17" t="s">
        <v>242</v>
      </c>
      <c r="BL56" s="17" t="s">
        <v>384</v>
      </c>
    </row>
    <row r="57" spans="1:64" ht="75" customHeight="1">
      <c r="A57" s="32">
        <f>INDEX('Implementation Plan V2 Sep25'!A:A,MATCH(E57,'Implementation Plan V2 Sep25'!F:F,0))</f>
        <v>3</v>
      </c>
      <c r="B57" s="33" t="str">
        <f>INDEX('Implementation Plan V2 Sep25'!C:C,MATCH(E57,'Implementation Plan V2 Sep25'!F:F,0))</f>
        <v>Output 3.1 Interoperable, affordable and resilient observation network progressively remediated, expanded and sustained</v>
      </c>
      <c r="C57" s="33" t="str">
        <f>INDEX('Implementation Plan V2 Sep25'!E:E,MATCH(E57,'Implementation Plan V2 Sep25'!F:F,0))</f>
        <v>3.1.2</v>
      </c>
      <c r="D57" s="33">
        <f>INDEX('Implementation Plan V2 Sep25'!D:D,MATCH(E57,'Implementation Plan V2 Sep25'!F:F,0))</f>
        <v>33</v>
      </c>
      <c r="E57" s="2" t="s">
        <v>75</v>
      </c>
      <c r="F57" s="2" t="s">
        <v>385</v>
      </c>
      <c r="G57" s="2">
        <f>Projects[[#This Row],[Activity Ref]]</f>
        <v>33</v>
      </c>
      <c r="H57" s="177">
        <v>0</v>
      </c>
      <c r="J57" s="2" t="str">
        <f>IF(OR(ISBLANK(Projects[[#This Row],[Task]]),Projects[[#This Row],[Task]]=0),"",CONCATENATE(Projects[[#This Row],[Phase]],Projects[[#This Row],[Task]]))</f>
        <v/>
      </c>
      <c r="K57" s="2" t="s">
        <v>386</v>
      </c>
      <c r="L57" s="2" t="s">
        <v>229</v>
      </c>
      <c r="O57" s="2" t="s">
        <v>292</v>
      </c>
      <c r="S57" s="13"/>
      <c r="T57" s="2" t="s">
        <v>216</v>
      </c>
      <c r="U57" s="2" t="s">
        <v>232</v>
      </c>
      <c r="V57" s="40">
        <f t="shared" si="3"/>
        <v>379776</v>
      </c>
      <c r="W57" s="15"/>
      <c r="X57" s="17"/>
      <c r="Y57" s="17"/>
      <c r="Z57" s="2" t="s">
        <v>248</v>
      </c>
      <c r="AA57" s="40">
        <f t="shared" si="2"/>
        <v>379776</v>
      </c>
      <c r="AB57" s="40" t="str">
        <f>IFERROR(INDEX(#REF!,MATCH(#REF!,#REF!,0)),"")</f>
        <v/>
      </c>
      <c r="AC57" s="40" t="str">
        <f>IFERROR(INDEX(#REF!,MATCH(#REF!,#REF!,0)),"")</f>
        <v/>
      </c>
      <c r="AD57" s="13"/>
      <c r="AE57" s="13"/>
      <c r="AF57" s="13"/>
      <c r="AG57" s="13">
        <v>126592</v>
      </c>
      <c r="AH57" s="13">
        <v>126592</v>
      </c>
      <c r="AI57" s="13">
        <v>126592</v>
      </c>
      <c r="AQ57" s="33">
        <f>SUM(Projects[[#This Row],[2024 Actual]],Projects[[#This Row],[2025 Actual ]])</f>
        <v>0</v>
      </c>
      <c r="AS57" s="173">
        <f>IF(Projects[[#This Row],[WRP Funding Allocated USD]]=0,"-",Projects[[#This Row],[Actual Spend USD]]/Projects[[#This Row],[WRP Funding Allocated USD]])</f>
        <v>0</v>
      </c>
      <c r="AY57" s="150" t="e">
        <f>Projects[[#This Row],[No. Action Completed]]/Projects[[#This Row],[No. Actions Identified]]</f>
        <v>#DIV/0!</v>
      </c>
      <c r="BC57" s="15"/>
      <c r="BD57" s="15"/>
      <c r="BE57" s="17" t="s">
        <v>276</v>
      </c>
      <c r="BF57" s="17" t="s">
        <v>276</v>
      </c>
      <c r="BG57" s="38">
        <v>0.05</v>
      </c>
      <c r="BH57" s="38">
        <v>0.05</v>
      </c>
      <c r="BI57" s="64" t="s">
        <v>119</v>
      </c>
      <c r="BJ57" s="64" t="s">
        <v>119</v>
      </c>
      <c r="BK57" s="17" t="s">
        <v>242</v>
      </c>
      <c r="BL57" s="17" t="s">
        <v>387</v>
      </c>
    </row>
    <row r="58" spans="1:64" ht="70.5" customHeight="1">
      <c r="A58" s="32">
        <f>INDEX('Implementation Plan V2 Sep25'!A:A,MATCH(E58,'Implementation Plan V2 Sep25'!F:F,0))</f>
        <v>3</v>
      </c>
      <c r="B58" s="33" t="str">
        <f>INDEX('Implementation Plan V2 Sep25'!C:C,MATCH(E58,'Implementation Plan V2 Sep25'!F:F,0))</f>
        <v>Output 3.1 Interoperable, affordable and resilient observation network progressively remediated, expanded and sustained</v>
      </c>
      <c r="C58" s="33" t="str">
        <f>INDEX('Implementation Plan V2 Sep25'!E:E,MATCH(E58,'Implementation Plan V2 Sep25'!F:F,0))</f>
        <v>3.1.1</v>
      </c>
      <c r="D58" s="33">
        <f>INDEX('Implementation Plan V2 Sep25'!D:D,MATCH(E58,'Implementation Plan V2 Sep25'!F:F,0))</f>
        <v>32</v>
      </c>
      <c r="E58" s="2" t="s">
        <v>71</v>
      </c>
      <c r="F58" s="7" t="s">
        <v>388</v>
      </c>
      <c r="G58" s="7">
        <f>Projects[[#This Row],[Activity Ref]]</f>
        <v>32</v>
      </c>
      <c r="H58" s="45" t="s">
        <v>228</v>
      </c>
      <c r="I58" s="55">
        <v>2504</v>
      </c>
      <c r="J58" s="2" t="str">
        <f>IF(OR(ISBLANK(Projects[[#This Row],[Task]]),Projects[[#This Row],[Task]]=0),"",CONCATENATE(Projects[[#This Row],[Phase]],Projects[[#This Row],[Task]]))</f>
        <v>3205</v>
      </c>
      <c r="K58" s="2" t="s">
        <v>214</v>
      </c>
      <c r="L58" s="2" t="s">
        <v>229</v>
      </c>
      <c r="O58" s="2" t="s">
        <v>292</v>
      </c>
      <c r="Q58" s="2">
        <v>2025</v>
      </c>
      <c r="R58" s="2" t="s">
        <v>389</v>
      </c>
      <c r="S58" s="13">
        <f>Projects[[#This Row],[2026 Budget]]/2</f>
        <v>25000</v>
      </c>
      <c r="T58" s="2" t="s">
        <v>216</v>
      </c>
      <c r="U58" s="2" t="s">
        <v>232</v>
      </c>
      <c r="V58" s="40">
        <f t="shared" si="3"/>
        <v>200000</v>
      </c>
      <c r="W58" s="2"/>
      <c r="X58" s="17"/>
      <c r="Y58" s="17"/>
      <c r="Z58" s="7" t="s">
        <v>248</v>
      </c>
      <c r="AA58" s="40">
        <f t="shared" si="2"/>
        <v>200000</v>
      </c>
      <c r="AB58" s="40" t="str">
        <f>IFERROR(INDEX(#REF!,MATCH(#REF!,#REF!,0)),"")</f>
        <v/>
      </c>
      <c r="AC58" s="40" t="str">
        <f>IFERROR(INDEX(#REF!,MATCH(#REF!,#REF!,0)),"")</f>
        <v/>
      </c>
      <c r="AD58" s="13"/>
      <c r="AE58" s="19"/>
      <c r="AF58" s="237">
        <v>50000</v>
      </c>
      <c r="AG58" s="237">
        <v>150000</v>
      </c>
      <c r="AH58" s="19"/>
      <c r="AI58" s="19"/>
      <c r="AQ58" s="33">
        <f>SUM(Projects[[#This Row],[2024 Actual]],Projects[[#This Row],[2025 Actual ]])</f>
        <v>0</v>
      </c>
      <c r="AS58" s="173">
        <f>IF(Projects[[#This Row],[WRP Funding Allocated USD]]=0,"-",Projects[[#This Row],[Actual Spend USD]]/Projects[[#This Row],[WRP Funding Allocated USD]])</f>
        <v>0</v>
      </c>
      <c r="AY58" s="150" t="e">
        <f>Projects[[#This Row],[No. Action Completed]]/Projects[[#This Row],[No. Actions Identified]]</f>
        <v>#DIV/0!</v>
      </c>
      <c r="BC58" s="15"/>
      <c r="BD58" s="15"/>
      <c r="BE58" s="17" t="s">
        <v>297</v>
      </c>
      <c r="BF58" s="17" t="s">
        <v>297</v>
      </c>
      <c r="BG58" s="38">
        <v>0.05</v>
      </c>
      <c r="BH58" s="38">
        <v>0.05</v>
      </c>
      <c r="BI58" s="64" t="s">
        <v>221</v>
      </c>
      <c r="BJ58" s="64" t="s">
        <v>221</v>
      </c>
      <c r="BK58" s="151" t="s">
        <v>242</v>
      </c>
      <c r="BL58" s="151" t="s">
        <v>390</v>
      </c>
    </row>
    <row r="59" spans="1:64" ht="40.5" customHeight="1">
      <c r="A59" s="32">
        <f>INDEX('Implementation Plan V2 Sep25'!A:A,MATCH(E59,'Implementation Plan V2 Sep25'!F:F,0))</f>
        <v>4</v>
      </c>
      <c r="B59" s="33" t="str">
        <f>INDEX('Implementation Plan V2 Sep25'!C:C,MATCH(E59,'Implementation Plan V2 Sep25'!F:F,0))</f>
        <v>Output 4.1 An integrated Pacific forecasting platform established and operating sustainably to global standards</v>
      </c>
      <c r="C59" s="33" t="str">
        <f>INDEX('Implementation Plan V2 Sep25'!E:E,MATCH(E59,'Implementation Plan V2 Sep25'!F:F,0))</f>
        <v>4.1.1</v>
      </c>
      <c r="D59" s="33">
        <f>INDEX('Implementation Plan V2 Sep25'!D:D,MATCH(E59,'Implementation Plan V2 Sep25'!F:F,0))</f>
        <v>41</v>
      </c>
      <c r="E59" s="60" t="s">
        <v>100</v>
      </c>
      <c r="F59" s="2" t="s">
        <v>391</v>
      </c>
      <c r="G59" s="2"/>
      <c r="H59" s="45"/>
      <c r="J59" s="2" t="str">
        <f>IF(OR(ISBLANK(Projects[[#This Row],[Task]]),Projects[[#This Row],[Task]]=0),"",CONCATENATE(Projects[[#This Row],[Phase]],Projects[[#This Row],[Task]]))</f>
        <v/>
      </c>
      <c r="K59" s="2" t="s">
        <v>310</v>
      </c>
      <c r="L59" s="2" t="s">
        <v>280</v>
      </c>
      <c r="S59" s="13"/>
      <c r="V59" s="40">
        <f t="shared" si="3"/>
        <v>0</v>
      </c>
      <c r="W59" s="2" t="s">
        <v>392</v>
      </c>
      <c r="X59" s="19" t="s">
        <v>393</v>
      </c>
      <c r="Y59" s="19"/>
      <c r="AA59" s="40">
        <f t="shared" si="2"/>
        <v>0</v>
      </c>
      <c r="AB59" s="40" t="str">
        <f>IFERROR(INDEX(#REF!,MATCH(#REF!,#REF!,0)),"")</f>
        <v/>
      </c>
      <c r="AC59" s="40" t="str">
        <f>IFERROR(INDEX(#REF!,MATCH(#REF!,#REF!,0)),"")</f>
        <v/>
      </c>
      <c r="AD59" s="13"/>
      <c r="AE59" s="19"/>
      <c r="AF59" s="19"/>
      <c r="AG59" s="19"/>
      <c r="AQ59" s="33">
        <f>SUM(Projects[[#This Row],[2024 Actual]],Projects[[#This Row],[2025 Actual ]])</f>
        <v>0</v>
      </c>
      <c r="AS59" s="173" t="str">
        <f>IF(Projects[[#This Row],[WRP Funding Allocated USD]]=0,"-",Projects[[#This Row],[Actual Spend USD]]/Projects[[#This Row],[WRP Funding Allocated USD]])</f>
        <v>-</v>
      </c>
      <c r="AY59" s="150" t="e">
        <f>Projects[[#This Row],[No. Action Completed]]/Projects[[#This Row],[No. Actions Identified]]</f>
        <v>#DIV/0!</v>
      </c>
      <c r="BC59" s="15"/>
      <c r="BD59" s="15"/>
      <c r="BE59" s="17"/>
      <c r="BF59" s="17"/>
      <c r="BG59" s="38" t="s">
        <v>119</v>
      </c>
      <c r="BH59" s="38" t="s">
        <v>119</v>
      </c>
      <c r="BI59" s="64" t="s">
        <v>119</v>
      </c>
      <c r="BJ59" s="64" t="s">
        <v>119</v>
      </c>
      <c r="BK59" s="18" t="s">
        <v>242</v>
      </c>
      <c r="BL59" s="18" t="s">
        <v>119</v>
      </c>
    </row>
    <row r="60" spans="1:64" ht="61.15" customHeight="1">
      <c r="A60" s="32">
        <f>INDEX('Implementation Plan V2 Sep25'!A:A,MATCH(E60,'Implementation Plan V2 Sep25'!F:F,0))</f>
        <v>4</v>
      </c>
      <c r="B60" s="33" t="str">
        <f>INDEX('Implementation Plan V2 Sep25'!C:C,MATCH(E60,'Implementation Plan V2 Sep25'!F:F,0))</f>
        <v>OP4.2 Pacific forecasting capacity expanded and maintained</v>
      </c>
      <c r="C60" s="33" t="str">
        <f>INDEX('Implementation Plan V2 Sep25'!E:E,MATCH(E60,'Implementation Plan V2 Sep25'!F:F,0))</f>
        <v>4.2.4</v>
      </c>
      <c r="D60" s="33">
        <f>INDEX('Implementation Plan V2 Sep25'!D:D,MATCH(E60,'Implementation Plan V2 Sep25'!F:F,0))</f>
        <v>45</v>
      </c>
      <c r="E60" s="2" t="s">
        <v>112</v>
      </c>
      <c r="F60" s="2" t="s">
        <v>394</v>
      </c>
      <c r="G60" s="2">
        <f>Projects[[#This Row],[Activity Ref]]</f>
        <v>45</v>
      </c>
      <c r="H60" s="45" t="s">
        <v>245</v>
      </c>
      <c r="J60" s="2" t="str">
        <f>IF(OR(ISBLANK(Projects[[#This Row],[Task]]),Projects[[#This Row],[Task]]=0),"",CONCATENATE(Projects[[#This Row],[Phase]],Projects[[#This Row],[Task]]))</f>
        <v>4501</v>
      </c>
      <c r="K60" s="2" t="s">
        <v>214</v>
      </c>
      <c r="L60" s="2" t="s">
        <v>225</v>
      </c>
      <c r="O60" s="2" t="s">
        <v>251</v>
      </c>
      <c r="S60" s="13"/>
      <c r="T60" s="2" t="s">
        <v>395</v>
      </c>
      <c r="U60" s="2" t="s">
        <v>217</v>
      </c>
      <c r="V60" s="40">
        <f t="shared" si="3"/>
        <v>435000</v>
      </c>
      <c r="W60" s="15"/>
      <c r="X60" s="17"/>
      <c r="Y60" s="17"/>
      <c r="Z60" s="2" t="s">
        <v>218</v>
      </c>
      <c r="AA60" s="40">
        <f t="shared" si="2"/>
        <v>435000</v>
      </c>
      <c r="AB60" s="40" t="str">
        <f>IFERROR(INDEX(#REF!,MATCH(#REF!,#REF!,0)),"")</f>
        <v/>
      </c>
      <c r="AC60" s="40" t="str">
        <f>IFERROR(INDEX(#REF!,MATCH(#REF!,#REF!,0)),"")</f>
        <v/>
      </c>
      <c r="AD60" s="13"/>
      <c r="AE60" s="237">
        <v>21387</v>
      </c>
      <c r="AF60" s="237">
        <v>306806</v>
      </c>
      <c r="AG60" s="237">
        <v>106807</v>
      </c>
      <c r="AP60" s="237">
        <v>21387</v>
      </c>
      <c r="AQ60" s="33">
        <f>SUM(Projects[[#This Row],[2024 Actual]],Projects[[#This Row],[2025 Actual ]])</f>
        <v>21387</v>
      </c>
      <c r="AS60" s="173">
        <f>IF(Projects[[#This Row],[WRP Funding Allocated USD]]=0,"-",Projects[[#This Row],[Actual Spend USD]]/Projects[[#This Row],[WRP Funding Allocated USD]])</f>
        <v>4.9165517241379311E-2</v>
      </c>
      <c r="AY60" s="150" t="e">
        <f>Projects[[#This Row],[No. Action Completed]]/Projects[[#This Row],[No. Actions Identified]]</f>
        <v>#DIV/0!</v>
      </c>
      <c r="BC60" s="15"/>
      <c r="BD60" s="15"/>
      <c r="BE60" s="17" t="s">
        <v>220</v>
      </c>
      <c r="BF60" s="17" t="s">
        <v>220</v>
      </c>
      <c r="BG60" s="38">
        <v>0</v>
      </c>
      <c r="BH60" s="38">
        <v>0</v>
      </c>
      <c r="BI60" s="64" t="s">
        <v>221</v>
      </c>
      <c r="BJ60" s="64" t="s">
        <v>221</v>
      </c>
      <c r="BK60" s="151" t="s">
        <v>396</v>
      </c>
      <c r="BL60" s="151" t="s">
        <v>119</v>
      </c>
    </row>
    <row r="61" spans="1:64" ht="72" customHeight="1">
      <c r="A61" s="32">
        <f>INDEX('Implementation Plan V2 Sep25'!A:A,MATCH(E61,'Implementation Plan V2 Sep25'!F:F,0))</f>
        <v>4</v>
      </c>
      <c r="B61" s="33" t="str">
        <f>INDEX('Implementation Plan V2 Sep25'!C:C,MATCH(E61,'Implementation Plan V2 Sep25'!F:F,0))</f>
        <v>Output 4.1 An integrated Pacific forecasting platform established and operating sustainably to global standards</v>
      </c>
      <c r="C61" s="33" t="str">
        <f>INDEX('Implementation Plan V2 Sep25'!E:E,MATCH(E61,'Implementation Plan V2 Sep25'!F:F,0))</f>
        <v>4.1.1</v>
      </c>
      <c r="D61" s="33">
        <f>INDEX('Implementation Plan V2 Sep25'!D:D,MATCH(E61,'Implementation Plan V2 Sep25'!F:F,0))</f>
        <v>41</v>
      </c>
      <c r="E61" s="2" t="s">
        <v>100</v>
      </c>
      <c r="F61" s="2" t="s">
        <v>397</v>
      </c>
      <c r="G61" s="2">
        <f>Projects[[#This Row],[Activity Ref]]</f>
        <v>41</v>
      </c>
      <c r="H61" s="45" t="s">
        <v>285</v>
      </c>
      <c r="J61" s="2" t="str">
        <f>IF(OR(ISBLANK(Projects[[#This Row],[Task]]),Projects[[#This Row],[Task]]=0),"",CONCATENATE(Projects[[#This Row],[Phase]],Projects[[#This Row],[Task]]))</f>
        <v>4102</v>
      </c>
      <c r="K61" s="2" t="s">
        <v>224</v>
      </c>
      <c r="L61" s="2" t="s">
        <v>229</v>
      </c>
      <c r="O61" s="2" t="s">
        <v>251</v>
      </c>
      <c r="Q61" s="2">
        <v>2025</v>
      </c>
      <c r="R61" s="2" t="s">
        <v>398</v>
      </c>
      <c r="S61" s="13"/>
      <c r="T61" s="2" t="s">
        <v>216</v>
      </c>
      <c r="V61" s="40">
        <f t="shared" si="3"/>
        <v>0</v>
      </c>
      <c r="W61" s="15"/>
      <c r="X61" s="17"/>
      <c r="Y61" s="17"/>
      <c r="Z61" s="2" t="s">
        <v>248</v>
      </c>
      <c r="AA61" s="40">
        <f t="shared" si="2"/>
        <v>0</v>
      </c>
      <c r="AB61" s="40" t="str">
        <f>IFERROR(INDEX(#REF!,MATCH(#REF!,#REF!,0)),"")</f>
        <v/>
      </c>
      <c r="AC61" s="40" t="str">
        <f>IFERROR(INDEX(#REF!,MATCH(#REF!,#REF!,0)),"")</f>
        <v/>
      </c>
      <c r="AD61" s="13"/>
      <c r="AE61" s="19"/>
      <c r="AF61" s="195"/>
      <c r="AG61" s="196"/>
      <c r="AH61" s="196"/>
      <c r="AI61" s="196"/>
      <c r="AQ61" s="33">
        <f>SUM(Projects[[#This Row],[2024 Actual]],Projects[[#This Row],[2025 Actual ]])</f>
        <v>0</v>
      </c>
      <c r="AS61" s="173" t="str">
        <f>IF(Projects[[#This Row],[WRP Funding Allocated USD]]=0,"-",Projects[[#This Row],[Actual Spend USD]]/Projects[[#This Row],[WRP Funding Allocated USD]])</f>
        <v>-</v>
      </c>
      <c r="AY61" s="150" t="e">
        <f>Projects[[#This Row],[No. Action Completed]]/Projects[[#This Row],[No. Actions Identified]]</f>
        <v>#DIV/0!</v>
      </c>
      <c r="BC61" s="15"/>
      <c r="BD61" s="15"/>
      <c r="BE61" s="17" t="s">
        <v>276</v>
      </c>
      <c r="BF61" s="17" t="s">
        <v>276</v>
      </c>
      <c r="BG61" s="38">
        <v>0</v>
      </c>
      <c r="BH61" s="38">
        <v>0</v>
      </c>
      <c r="BI61" s="64" t="s">
        <v>119</v>
      </c>
      <c r="BJ61" s="64" t="s">
        <v>119</v>
      </c>
      <c r="BK61" s="17" t="s">
        <v>242</v>
      </c>
      <c r="BL61" s="17" t="s">
        <v>119</v>
      </c>
    </row>
    <row r="62" spans="1:64" ht="85.5" customHeight="1">
      <c r="A62" s="32">
        <f>INDEX('Implementation Plan V2 Sep25'!A:A,MATCH(E62,'Implementation Plan V2 Sep25'!F:F,0))</f>
        <v>4</v>
      </c>
      <c r="B62" s="33" t="str">
        <f>INDEX('Implementation Plan V2 Sep25'!C:C,MATCH(E62,'Implementation Plan V2 Sep25'!F:F,0))</f>
        <v>OP4.2 Pacific forecasting capacity expanded and maintained</v>
      </c>
      <c r="C62" s="33" t="str">
        <f>INDEX('Implementation Plan V2 Sep25'!E:E,MATCH(E62,'Implementation Plan V2 Sep25'!F:F,0))</f>
        <v>4.2.4</v>
      </c>
      <c r="D62" s="33">
        <f>INDEX('Implementation Plan V2 Sep25'!D:D,MATCH(E62,'Implementation Plan V2 Sep25'!F:F,0))</f>
        <v>45</v>
      </c>
      <c r="E62" s="2" t="s">
        <v>112</v>
      </c>
      <c r="F62" s="2" t="s">
        <v>399</v>
      </c>
      <c r="G62" s="2">
        <f>Projects[[#This Row],[Activity Ref]]</f>
        <v>45</v>
      </c>
      <c r="H62" s="45" t="s">
        <v>275</v>
      </c>
      <c r="J62" s="2" t="str">
        <f>IF(OR(ISBLANK(Projects[[#This Row],[Task]]),Projects[[#This Row],[Task]]=0),"",CONCATENATE(Projects[[#This Row],[Phase]],Projects[[#This Row],[Task]]))</f>
        <v>4503</v>
      </c>
      <c r="K62" s="2" t="s">
        <v>214</v>
      </c>
      <c r="L62" s="2" t="s">
        <v>400</v>
      </c>
      <c r="O62" s="2" t="s">
        <v>251</v>
      </c>
      <c r="Q62" s="2">
        <v>2025</v>
      </c>
      <c r="R62" s="2" t="s">
        <v>401</v>
      </c>
      <c r="S62" s="13">
        <f>SUM(Projects[[#This Row],[2025]])</f>
        <v>0</v>
      </c>
      <c r="T62" s="2" t="s">
        <v>216</v>
      </c>
      <c r="U62" s="2" t="s">
        <v>232</v>
      </c>
      <c r="V62" s="40">
        <f t="shared" si="3"/>
        <v>12396.5</v>
      </c>
      <c r="W62" s="15"/>
      <c r="X62" s="17"/>
      <c r="Y62" s="17"/>
      <c r="Z62" s="2" t="s">
        <v>248</v>
      </c>
      <c r="AA62" s="40">
        <f t="shared" si="2"/>
        <v>12396.5</v>
      </c>
      <c r="AB62" s="40" t="str">
        <f>IFERROR(INDEX(#REF!,MATCH(#REF!,#REF!,0)),"")</f>
        <v/>
      </c>
      <c r="AC62" s="40" t="str">
        <f>IFERROR(INDEX(#REF!,MATCH(#REF!,#REF!,0)),"")</f>
        <v/>
      </c>
      <c r="AD62" s="13"/>
      <c r="AE62" s="13"/>
      <c r="AF62" s="196">
        <f>20000*0.619825</f>
        <v>12396.5</v>
      </c>
      <c r="AG62" s="196"/>
      <c r="AH62" s="196"/>
      <c r="AI62" s="196"/>
      <c r="AQ62" s="33">
        <f>SUM(Projects[[#This Row],[2024 Actual]],Projects[[#This Row],[2025 Actual ]])</f>
        <v>0</v>
      </c>
      <c r="AS62" s="173">
        <f>IF(Projects[[#This Row],[WRP Funding Allocated USD]]=0,"-",Projects[[#This Row],[Actual Spend USD]]/Projects[[#This Row],[WRP Funding Allocated USD]])</f>
        <v>0</v>
      </c>
      <c r="AY62" s="150" t="e">
        <f>Projects[[#This Row],[No. Action Completed]]/Projects[[#This Row],[No. Actions Identified]]</f>
        <v>#DIV/0!</v>
      </c>
      <c r="BC62" s="15"/>
      <c r="BD62" s="15"/>
      <c r="BE62" s="17" t="s">
        <v>235</v>
      </c>
      <c r="BF62" s="17" t="s">
        <v>235</v>
      </c>
      <c r="BG62" s="38">
        <v>0.01</v>
      </c>
      <c r="BH62" s="38">
        <v>0.01</v>
      </c>
      <c r="BI62" s="64" t="s">
        <v>221</v>
      </c>
      <c r="BJ62" s="64" t="s">
        <v>221</v>
      </c>
      <c r="BK62" s="151" t="s">
        <v>402</v>
      </c>
      <c r="BL62" s="151" t="s">
        <v>403</v>
      </c>
    </row>
    <row r="63" spans="1:64" ht="56.65" customHeight="1">
      <c r="A63" s="32">
        <f>INDEX('Implementation Plan V2 Sep25'!A:A,MATCH(E63,'Implementation Plan V2 Sep25'!F:F,0))</f>
        <v>4</v>
      </c>
      <c r="B63" s="33" t="str">
        <f>INDEX('Implementation Plan V2 Sep25'!C:C,MATCH(E63,'Implementation Plan V2 Sep25'!F:F,0))</f>
        <v>OP4.2 Pacific forecasting capacity expanded and maintained</v>
      </c>
      <c r="C63" s="33" t="str">
        <f>INDEX('Implementation Plan V2 Sep25'!E:E,MATCH(E63,'Implementation Plan V2 Sep25'!F:F,0))</f>
        <v>4.2.4</v>
      </c>
      <c r="D63" s="33">
        <f>INDEX('Implementation Plan V2 Sep25'!D:D,MATCH(E63,'Implementation Plan V2 Sep25'!F:F,0))</f>
        <v>45</v>
      </c>
      <c r="E63" s="2" t="s">
        <v>112</v>
      </c>
      <c r="F63" s="2" t="s">
        <v>404</v>
      </c>
      <c r="G63" s="2">
        <f>Projects[[#This Row],[Activity Ref]]</f>
        <v>45</v>
      </c>
      <c r="H63" s="45" t="s">
        <v>285</v>
      </c>
      <c r="J63" s="2" t="str">
        <f>IF(OR(ISBLANK(Projects[[#This Row],[Task]]),Projects[[#This Row],[Task]]=0),"",CONCATENATE(Projects[[#This Row],[Phase]],Projects[[#This Row],[Task]]))</f>
        <v>4502</v>
      </c>
      <c r="K63" s="2" t="s">
        <v>214</v>
      </c>
      <c r="L63" s="2" t="s">
        <v>400</v>
      </c>
      <c r="O63" s="2" t="s">
        <v>251</v>
      </c>
      <c r="Q63" s="2">
        <v>2025</v>
      </c>
      <c r="R63" s="2" t="s">
        <v>401</v>
      </c>
      <c r="S63" s="13">
        <f>Projects[[#This Row],[2025]]</f>
        <v>279417.63</v>
      </c>
      <c r="T63" s="2" t="s">
        <v>405</v>
      </c>
      <c r="U63" s="2" t="s">
        <v>232</v>
      </c>
      <c r="V63" s="40">
        <f t="shared" si="3"/>
        <v>757530.46</v>
      </c>
      <c r="W63" s="15"/>
      <c r="X63" s="17"/>
      <c r="Y63" s="17"/>
      <c r="Z63" s="2" t="s">
        <v>248</v>
      </c>
      <c r="AA63" s="40">
        <f t="shared" si="2"/>
        <v>757530.46</v>
      </c>
      <c r="AB63" s="40" t="str">
        <f>IFERROR(INDEX(#REF!,MATCH(#REF!,#REF!,0)),"")</f>
        <v/>
      </c>
      <c r="AC63" s="40" t="str">
        <f>IFERROR(INDEX(#REF!,MATCH(#REF!,#REF!,0)),"")</f>
        <v/>
      </c>
      <c r="AD63" s="13"/>
      <c r="AE63" s="19">
        <v>279417.63</v>
      </c>
      <c r="AF63" s="196">
        <v>478112.83</v>
      </c>
      <c r="AG63" s="196"/>
      <c r="AH63" s="196"/>
      <c r="AI63" s="196"/>
      <c r="AP63" s="13">
        <f>Projects[[#This Row],[2025]]</f>
        <v>279417.63</v>
      </c>
      <c r="AQ63" s="33">
        <f>SUM(Projects[[#This Row],[2024 Actual]],Projects[[#This Row],[2025 Actual ]])</f>
        <v>279417.63</v>
      </c>
      <c r="AS63" s="173">
        <f>IF(Projects[[#This Row],[WRP Funding Allocated USD]]=0,"-",Projects[[#This Row],[Actual Spend USD]]/Projects[[#This Row],[WRP Funding Allocated USD]])</f>
        <v>0.3688533263731732</v>
      </c>
      <c r="AY63" s="150" t="e">
        <f>Projects[[#This Row],[No. Action Completed]]/Projects[[#This Row],[No. Actions Identified]]</f>
        <v>#DIV/0!</v>
      </c>
      <c r="BC63" s="15"/>
      <c r="BD63" s="15"/>
      <c r="BE63" s="17" t="s">
        <v>235</v>
      </c>
      <c r="BF63" s="17" t="s">
        <v>235</v>
      </c>
      <c r="BG63" s="38">
        <v>0.01</v>
      </c>
      <c r="BH63" s="38">
        <v>0.01</v>
      </c>
      <c r="BI63" s="64" t="s">
        <v>221</v>
      </c>
      <c r="BJ63" s="64" t="s">
        <v>221</v>
      </c>
      <c r="BK63" s="151" t="s">
        <v>402</v>
      </c>
      <c r="BL63" s="151" t="s">
        <v>406</v>
      </c>
    </row>
    <row r="64" spans="1:64" ht="80.25" customHeight="1">
      <c r="A64" s="32">
        <f>INDEX('Implementation Plan V2 Sep25'!A:A,MATCH(E64,'Implementation Plan V2 Sep25'!F:F,0))</f>
        <v>5</v>
      </c>
      <c r="B64" s="33" t="str">
        <f>INDEX('Implementation Plan V2 Sep25'!C:C,MATCH(E64,'Implementation Plan V2 Sep25'!F:F,0))</f>
        <v>Output 5.1 Pacific capacity and collaborative approaches to deliver locally-relevant, impact-based, inclusive and accessible forecasts and warnings for end users strengthened and sustained</v>
      </c>
      <c r="C64" s="33" t="str">
        <f>INDEX('Implementation Plan V2 Sep25'!E:E,MATCH(E64,'Implementation Plan V2 Sep25'!F:F,0))</f>
        <v>5.1.6</v>
      </c>
      <c r="D64" s="33">
        <f>INDEX('Implementation Plan V2 Sep25'!D:D,MATCH(E64,'Implementation Plan V2 Sep25'!F:F,0))</f>
        <v>56</v>
      </c>
      <c r="E64" s="2" t="s">
        <v>139</v>
      </c>
      <c r="F64" s="2" t="s">
        <v>407</v>
      </c>
      <c r="G64" s="2">
        <f>Projects[[#This Row],[Activity Ref]]</f>
        <v>56</v>
      </c>
      <c r="H64" s="45" t="s">
        <v>245</v>
      </c>
      <c r="J64" s="2" t="str">
        <f>IF(OR(ISBLANK(Projects[[#This Row],[Task]]),Projects[[#This Row],[Task]]=0),"",CONCATENATE(Projects[[#This Row],[Phase]],Projects[[#This Row],[Task]]))</f>
        <v>5601</v>
      </c>
      <c r="K64" s="2" t="s">
        <v>214</v>
      </c>
      <c r="L64" s="2" t="s">
        <v>408</v>
      </c>
      <c r="O64" s="2" t="s">
        <v>292</v>
      </c>
      <c r="Q64" s="2">
        <v>2025</v>
      </c>
      <c r="R64" s="2" t="s">
        <v>409</v>
      </c>
      <c r="S64" s="13">
        <f>Projects[[#This Row],[2025]]</f>
        <v>0</v>
      </c>
      <c r="T64" s="2" t="s">
        <v>408</v>
      </c>
      <c r="U64" s="2" t="s">
        <v>232</v>
      </c>
      <c r="V64" s="40">
        <f t="shared" si="3"/>
        <v>40931.14</v>
      </c>
      <c r="W64" s="15"/>
      <c r="X64" s="17"/>
      <c r="Y64" s="17"/>
      <c r="Z64" s="2" t="s">
        <v>248</v>
      </c>
      <c r="AA64" s="40">
        <f t="shared" si="2"/>
        <v>40931.14</v>
      </c>
      <c r="AB64" s="40" t="str">
        <f>IFERROR(INDEX(#REF!,MATCH(#REF!,#REF!,0)),"")</f>
        <v/>
      </c>
      <c r="AC64" s="40" t="str">
        <f>IFERROR(INDEX(#REF!,MATCH(#REF!,#REF!,0)),"")</f>
        <v/>
      </c>
      <c r="AD64" s="13"/>
      <c r="AE64" s="13"/>
      <c r="AF64" s="19">
        <f>32792.01+8139.13</f>
        <v>40931.14</v>
      </c>
      <c r="AG64" s="19"/>
      <c r="AH64" s="19"/>
      <c r="AI64" s="19"/>
      <c r="AJ64" s="19"/>
      <c r="AK64" s="19"/>
      <c r="AL64" s="19"/>
      <c r="AM64" s="19"/>
      <c r="AO64" s="19"/>
      <c r="AP64" s="19"/>
      <c r="AQ64" s="33">
        <f>SUM(Projects[[#This Row],[2024 Actual]],Projects[[#This Row],[2025 Actual ]])</f>
        <v>0</v>
      </c>
      <c r="AS64" s="173">
        <f>IF(Projects[[#This Row],[WRP Funding Allocated USD]]=0,"-",Projects[[#This Row],[Actual Spend USD]]/Projects[[#This Row],[WRP Funding Allocated USD]])</f>
        <v>0</v>
      </c>
      <c r="AY64" s="150" t="e">
        <f>Projects[[#This Row],[No. Action Completed]]/Projects[[#This Row],[No. Actions Identified]]</f>
        <v>#DIV/0!</v>
      </c>
      <c r="BC64" s="15"/>
      <c r="BD64" s="15"/>
      <c r="BE64" s="17" t="s">
        <v>297</v>
      </c>
      <c r="BF64" s="17" t="s">
        <v>297</v>
      </c>
      <c r="BG64" s="38">
        <v>0.1</v>
      </c>
      <c r="BH64" s="38">
        <v>0.1</v>
      </c>
      <c r="BI64" s="64" t="s">
        <v>221</v>
      </c>
      <c r="BJ64" s="64" t="s">
        <v>221</v>
      </c>
      <c r="BK64" s="151" t="s">
        <v>410</v>
      </c>
      <c r="BL64" s="151" t="s">
        <v>411</v>
      </c>
    </row>
    <row r="65" spans="1:64" ht="99" customHeight="1">
      <c r="A65" s="32">
        <f>INDEX('Implementation Plan V2 Sep25'!A:A,MATCH(E65,'Implementation Plan V2 Sep25'!F:F,0))</f>
        <v>0</v>
      </c>
      <c r="B65" s="33" t="str">
        <f>INDEX('Implementation Plan V2 Sep25'!C:C,MATCH(E65,'Implementation Plan V2 Sep25'!F:F,0))</f>
        <v>Contingency and Other</v>
      </c>
      <c r="C65" s="33">
        <f>INDEX('Implementation Plan V2 Sep25'!E:E,MATCH(E65,'Implementation Plan V2 Sep25'!F:F,0))</f>
        <v>0</v>
      </c>
      <c r="D65" s="33" t="str">
        <f>INDEX('Implementation Plan V2 Sep25'!D:D,MATCH(E65,'Implementation Plan V2 Sep25'!F:F,0))</f>
        <v>00</v>
      </c>
      <c r="E65" s="60" t="s">
        <v>150</v>
      </c>
      <c r="F65" s="2" t="s">
        <v>412</v>
      </c>
      <c r="G65" s="176">
        <v>90</v>
      </c>
      <c r="H65" s="45"/>
      <c r="J65" s="2" t="str">
        <f>IF(OR(ISBLANK(Projects[[#This Row],[Task]]),Projects[[#This Row],[Task]]=0),"",CONCATENATE(Projects[[#This Row],[Phase]],Projects[[#This Row],[Task]]))</f>
        <v/>
      </c>
      <c r="K65" s="2" t="s">
        <v>224</v>
      </c>
      <c r="L65" s="2" t="s">
        <v>413</v>
      </c>
      <c r="O65" s="2" t="s">
        <v>286</v>
      </c>
      <c r="Q65" s="2">
        <v>2025</v>
      </c>
      <c r="R65" s="2" t="s">
        <v>414</v>
      </c>
      <c r="S65" s="13">
        <f>Projects[[#This Row],[2025]]</f>
        <v>11540.85</v>
      </c>
      <c r="T65" s="2" t="s">
        <v>216</v>
      </c>
      <c r="U65" s="2" t="s">
        <v>232</v>
      </c>
      <c r="V65" s="40">
        <f t="shared" si="3"/>
        <v>611540.85</v>
      </c>
      <c r="W65" s="15"/>
      <c r="X65" s="17"/>
      <c r="Y65" s="17"/>
      <c r="Z65" s="2" t="s">
        <v>248</v>
      </c>
      <c r="AA65" s="40">
        <f t="shared" si="2"/>
        <v>611540.85</v>
      </c>
      <c r="AB65" s="40" t="str">
        <f>IFERROR(INDEX(#REF!,MATCH(#REF!,#REF!,0)),"")</f>
        <v/>
      </c>
      <c r="AC65" s="40" t="str">
        <f>IFERROR(INDEX(#REF!,MATCH(#REF!,#REF!,0)),"")</f>
        <v/>
      </c>
      <c r="AD65" s="13"/>
      <c r="AE65" s="13">
        <v>11540.85</v>
      </c>
      <c r="AF65" s="13">
        <f>10000*15</f>
        <v>150000</v>
      </c>
      <c r="AG65" s="13">
        <f>10000*15</f>
        <v>150000</v>
      </c>
      <c r="AH65" s="13">
        <f>10000*15</f>
        <v>150000</v>
      </c>
      <c r="AI65" s="13">
        <f>10000*15</f>
        <v>150000</v>
      </c>
      <c r="AP65" s="13">
        <v>11540.85</v>
      </c>
      <c r="AQ65" s="33">
        <f>SUM(Projects[[#This Row],[2024 Actual]],Projects[[#This Row],[2025 Actual ]])</f>
        <v>11540.85</v>
      </c>
      <c r="AS65" s="173">
        <f>IF(Projects[[#This Row],[WRP Funding Allocated USD]]=0,"-",Projects[[#This Row],[Actual Spend USD]]/Projects[[#This Row],[WRP Funding Allocated USD]])</f>
        <v>1.8871756482007705E-2</v>
      </c>
      <c r="AY65" s="150" t="e">
        <f>Projects[[#This Row],[No. Action Completed]]/Projects[[#This Row],[No. Actions Identified]]</f>
        <v>#DIV/0!</v>
      </c>
      <c r="BC65" s="15"/>
      <c r="BD65" s="15"/>
      <c r="BE65" s="17" t="s">
        <v>297</v>
      </c>
      <c r="BF65" s="17" t="s">
        <v>297</v>
      </c>
      <c r="BG65" s="38">
        <v>0.05</v>
      </c>
      <c r="BH65" s="38">
        <v>0.05</v>
      </c>
      <c r="BI65" s="64" t="s">
        <v>254</v>
      </c>
      <c r="BJ65" s="64" t="s">
        <v>254</v>
      </c>
      <c r="BK65" s="17" t="s">
        <v>415</v>
      </c>
      <c r="BL65" s="17" t="s">
        <v>416</v>
      </c>
    </row>
    <row r="66" spans="1:64" ht="40.5" customHeight="1">
      <c r="A66" s="32">
        <f>INDEX('Implementation Plan V2 Sep25'!A:A,MATCH(E66,'Implementation Plan V2 Sep25'!F:F,0))</f>
        <v>1</v>
      </c>
      <c r="B66" s="33" t="str">
        <f>INDEX('Implementation Plan V2 Sep25'!C:C,MATCH(E66,'Implementation Plan V2 Sep25'!F:F,0))</f>
        <v>Output 1.1 WRP governance, management and financing mechanisms established, mandated and equipped to coordinate a Pacific-led, integrated, and sustainable programme</v>
      </c>
      <c r="C66" s="33" t="str">
        <f>INDEX('Implementation Plan V2 Sep25'!E:E,MATCH(E66,'Implementation Plan V2 Sep25'!F:F,0))</f>
        <v>1.1.4</v>
      </c>
      <c r="D66" s="33">
        <f>INDEX('Implementation Plan V2 Sep25'!D:D,MATCH(E66,'Implementation Plan V2 Sep25'!F:F,0))</f>
        <v>14</v>
      </c>
      <c r="E66" s="2" t="s">
        <v>26</v>
      </c>
      <c r="F66" s="2" t="s">
        <v>417</v>
      </c>
      <c r="G66" s="2">
        <f>Projects[[#This Row],[Activity Ref]]</f>
        <v>14</v>
      </c>
      <c r="H66" s="11">
        <v>0</v>
      </c>
      <c r="J66" s="2" t="str">
        <f>IF(OR(ISBLANK(Projects[[#This Row],[Task]]),Projects[[#This Row],[Task]]=0),"",CONCATENATE(Projects[[#This Row],[Phase]],Projects[[#This Row],[Task]]))</f>
        <v/>
      </c>
      <c r="K66" s="2" t="s">
        <v>386</v>
      </c>
      <c r="L66" s="2" t="s">
        <v>229</v>
      </c>
      <c r="S66" s="13">
        <f>Projects[[#This Row],[2026 Budget]]*5/12+Projects[[#This Row],[2025]]</f>
        <v>241150.85333333327</v>
      </c>
      <c r="T66" s="2" t="s">
        <v>216</v>
      </c>
      <c r="U66" s="2" t="s">
        <v>232</v>
      </c>
      <c r="V66" s="40">
        <f t="shared" si="3"/>
        <v>1044482.9199999999</v>
      </c>
      <c r="W66" s="2"/>
      <c r="X66" s="17"/>
      <c r="Y66" s="17"/>
      <c r="Z66" s="2" t="s">
        <v>346</v>
      </c>
      <c r="AA66" s="40">
        <f t="shared" ref="AA66:AA97" si="4">SUM(AD66:AM66)</f>
        <v>1044482.9199999999</v>
      </c>
      <c r="AB66" s="40" t="str">
        <f>IFERROR(INDEX(#REF!,MATCH(#REF!,#REF!,0)),"")</f>
        <v/>
      </c>
      <c r="AC66" s="40" t="str">
        <f>IFERROR(INDEX(#REF!,MATCH(#REF!,#REF!,0)),"")</f>
        <v/>
      </c>
      <c r="AD66" s="19">
        <v>91567.4</v>
      </c>
      <c r="AE66" s="19">
        <v>158387.51999999996</v>
      </c>
      <c r="AF66" s="196">
        <v>198632</v>
      </c>
      <c r="AG66" s="196">
        <v>198632</v>
      </c>
      <c r="AH66" s="196">
        <v>198632</v>
      </c>
      <c r="AI66" s="196">
        <v>198632</v>
      </c>
      <c r="AN66" s="13">
        <f>89075.98+29.94</f>
        <v>89105.919999999998</v>
      </c>
      <c r="AO66" s="13">
        <v>65371.06</v>
      </c>
      <c r="AP66" s="13">
        <f>Projects[[#This Row],[2025]]</f>
        <v>158387.51999999996</v>
      </c>
      <c r="AQ66" s="33">
        <f>SUM(Projects[[#This Row],[2024 Actual]],Projects[[#This Row],[2025 Actual ]])</f>
        <v>247493.43999999994</v>
      </c>
      <c r="AS66" s="173">
        <f>IF(Projects[[#This Row],[WRP Funding Allocated USD]]=0,"-",Projects[[#This Row],[Actual Spend USD]]/Projects[[#This Row],[WRP Funding Allocated USD]])</f>
        <v>0.23695307530734919</v>
      </c>
      <c r="AY66" s="150" t="e">
        <f>Projects[[#This Row],[No. Action Completed]]/Projects[[#This Row],[No. Actions Identified]]</f>
        <v>#DIV/0!</v>
      </c>
      <c r="BC66" s="15"/>
      <c r="BD66" s="15"/>
      <c r="BE66" s="17" t="s">
        <v>241</v>
      </c>
      <c r="BF66" s="17" t="s">
        <v>241</v>
      </c>
      <c r="BG66" s="38">
        <v>1</v>
      </c>
      <c r="BH66" s="38">
        <v>1</v>
      </c>
      <c r="BI66" s="64" t="s">
        <v>221</v>
      </c>
      <c r="BJ66" s="64" t="s">
        <v>221</v>
      </c>
      <c r="BK66" s="151" t="s">
        <v>418</v>
      </c>
      <c r="BL66" s="151" t="s">
        <v>119</v>
      </c>
    </row>
    <row r="67" spans="1:64" ht="50.65" customHeight="1">
      <c r="A67" s="32">
        <f>INDEX('Implementation Plan V2 Sep25'!A:A,MATCH(E67,'Implementation Plan V2 Sep25'!F:F,0))</f>
        <v>3</v>
      </c>
      <c r="B67" s="33" t="str">
        <f>INDEX('Implementation Plan V2 Sep25'!C:C,MATCH(E67,'Implementation Plan V2 Sep25'!F:F,0))</f>
        <v>Output 3.1 Interoperable, affordable and resilient observation network progressively remediated, expanded and sustained</v>
      </c>
      <c r="C67" s="33" t="str">
        <f>INDEX('Implementation Plan V2 Sep25'!E:E,MATCH(E67,'Implementation Plan V2 Sep25'!F:F,0))</f>
        <v>3.1.2</v>
      </c>
      <c r="D67" s="33">
        <f>INDEX('Implementation Plan V2 Sep25'!D:D,MATCH(E67,'Implementation Plan V2 Sep25'!F:F,0))</f>
        <v>33</v>
      </c>
      <c r="E67" s="2" t="s">
        <v>75</v>
      </c>
      <c r="F67" s="2" t="s">
        <v>419</v>
      </c>
      <c r="G67" s="2">
        <f>Projects[[#This Row],[Activity Ref]]</f>
        <v>33</v>
      </c>
      <c r="H67" s="11">
        <v>0</v>
      </c>
      <c r="J67" s="2" t="str">
        <f>IF(OR(ISBLANK(Projects[[#This Row],[Task]]),Projects[[#This Row],[Task]]=0),"",CONCATENATE(Projects[[#This Row],[Phase]],Projects[[#This Row],[Task]]))</f>
        <v/>
      </c>
      <c r="K67" s="2" t="s">
        <v>386</v>
      </c>
      <c r="L67" s="2" t="s">
        <v>229</v>
      </c>
      <c r="S67" s="13">
        <f>Projects[[#This Row],[2026 Budget]]*5/12+Projects[[#This Row],[2025]]</f>
        <v>113081.78333333333</v>
      </c>
      <c r="T67" s="2" t="s">
        <v>216</v>
      </c>
      <c r="U67" s="2" t="s">
        <v>232</v>
      </c>
      <c r="V67" s="40">
        <f t="shared" si="3"/>
        <v>698103.95</v>
      </c>
      <c r="W67" s="2"/>
      <c r="X67" s="17"/>
      <c r="Y67" s="17"/>
      <c r="Z67" s="2" t="s">
        <v>346</v>
      </c>
      <c r="AA67" s="40">
        <f t="shared" si="4"/>
        <v>698103.95</v>
      </c>
      <c r="AB67" s="40" t="str">
        <f>IFERROR(INDEX(#REF!,MATCH(#REF!,#REF!,0)),"")</f>
        <v/>
      </c>
      <c r="AC67" s="40" t="str">
        <f>IFERROR(INDEX(#REF!,MATCH(#REF!,#REF!,0)),"")</f>
        <v/>
      </c>
      <c r="AD67" s="13"/>
      <c r="AE67" s="19">
        <v>45055.95</v>
      </c>
      <c r="AF67" s="13">
        <v>163262</v>
      </c>
      <c r="AG67" s="13">
        <v>163262</v>
      </c>
      <c r="AH67" s="13">
        <v>163262</v>
      </c>
      <c r="AI67" s="13">
        <v>163262</v>
      </c>
      <c r="AP67" s="13">
        <f>Projects[[#This Row],[2025]]</f>
        <v>45055.95</v>
      </c>
      <c r="AQ67" s="33">
        <f>SUM(Projects[[#This Row],[2024 Actual]],Projects[[#This Row],[2025 Actual ]])</f>
        <v>45055.95</v>
      </c>
      <c r="AS67" s="173">
        <f>IF(Projects[[#This Row],[WRP Funding Allocated USD]]=0,"-",Projects[[#This Row],[Actual Spend USD]]/Projects[[#This Row],[WRP Funding Allocated USD]])</f>
        <v>6.4540459912882597E-2</v>
      </c>
      <c r="AY67" s="150" t="e">
        <f>Projects[[#This Row],[No. Action Completed]]/Projects[[#This Row],[No. Actions Identified]]</f>
        <v>#DIV/0!</v>
      </c>
      <c r="BC67" s="15"/>
      <c r="BD67" s="15"/>
      <c r="BE67" s="17" t="s">
        <v>220</v>
      </c>
      <c r="BF67" s="17" t="s">
        <v>220</v>
      </c>
      <c r="BG67" s="38">
        <v>0.8</v>
      </c>
      <c r="BH67" s="38">
        <v>0.8</v>
      </c>
      <c r="BI67" s="64" t="s">
        <v>221</v>
      </c>
      <c r="BJ67" s="64" t="s">
        <v>221</v>
      </c>
      <c r="BK67" s="151" t="s">
        <v>242</v>
      </c>
      <c r="BL67" s="151" t="s">
        <v>420</v>
      </c>
    </row>
    <row r="68" spans="1:64" ht="40.5" customHeight="1">
      <c r="A68" s="32">
        <f>INDEX('Implementation Plan V2 Sep25'!A:A,MATCH(E68,'Implementation Plan V2 Sep25'!F:F,0))</f>
        <v>1</v>
      </c>
      <c r="B68" s="33" t="str">
        <f>INDEX('Implementation Plan V2 Sep25'!C:C,MATCH(E68,'Implementation Plan V2 Sep25'!F:F,0))</f>
        <v>Output 1.1 WRP governance, management and financing mechanisms established, mandated and equipped to coordinate a Pacific-led, integrated, and sustainable programme</v>
      </c>
      <c r="C68" s="33" t="str">
        <f>INDEX('Implementation Plan V2 Sep25'!E:E,MATCH(E68,'Implementation Plan V2 Sep25'!F:F,0))</f>
        <v>1.1.4</v>
      </c>
      <c r="D68" s="33">
        <f>INDEX('Implementation Plan V2 Sep25'!D:D,MATCH(E68,'Implementation Plan V2 Sep25'!F:F,0))</f>
        <v>14</v>
      </c>
      <c r="E68" s="2" t="s">
        <v>26</v>
      </c>
      <c r="F68" s="2" t="s">
        <v>421</v>
      </c>
      <c r="G68" s="2">
        <f>Projects[[#This Row],[Activity Ref]]</f>
        <v>14</v>
      </c>
      <c r="H68" s="11">
        <v>0</v>
      </c>
      <c r="J68" s="2" t="str">
        <f>IF(OR(ISBLANK(Projects[[#This Row],[Task]]),Projects[[#This Row],[Task]]=0),"",CONCATENATE(Projects[[#This Row],[Phase]],Projects[[#This Row],[Task]]))</f>
        <v/>
      </c>
      <c r="K68" s="2" t="s">
        <v>386</v>
      </c>
      <c r="L68" s="2" t="s">
        <v>229</v>
      </c>
      <c r="S68" s="13">
        <f>Projects[[#This Row],[2026 Budget]]*5/12+Projects[[#This Row],[2025]]</f>
        <v>128065.90666666665</v>
      </c>
      <c r="T68" s="2" t="s">
        <v>216</v>
      </c>
      <c r="U68" s="2" t="s">
        <v>232</v>
      </c>
      <c r="V68" s="40">
        <f t="shared" si="3"/>
        <v>665010.49</v>
      </c>
      <c r="W68" s="2"/>
      <c r="X68" s="17"/>
      <c r="Y68" s="17"/>
      <c r="Z68" s="2" t="s">
        <v>346</v>
      </c>
      <c r="AA68" s="40">
        <f t="shared" si="4"/>
        <v>665010.49</v>
      </c>
      <c r="AB68" s="40" t="str">
        <f>IFERROR(INDEX(#REF!,MATCH(#REF!,#REF!,0)),"")</f>
        <v/>
      </c>
      <c r="AC68" s="40" t="str">
        <f>IFERROR(INDEX(#REF!,MATCH(#REF!,#REF!,0)),"")</f>
        <v/>
      </c>
      <c r="AD68" s="19"/>
      <c r="AE68" s="19">
        <v>65630.489999999991</v>
      </c>
      <c r="AF68" s="196">
        <v>149845</v>
      </c>
      <c r="AG68" s="196">
        <v>149845</v>
      </c>
      <c r="AH68" s="196">
        <v>149845</v>
      </c>
      <c r="AI68" s="196">
        <v>149845</v>
      </c>
      <c r="AO68" s="13">
        <v>6334.15</v>
      </c>
      <c r="AP68" s="13">
        <f>Projects[[#This Row],[2025]]</f>
        <v>65630.489999999991</v>
      </c>
      <c r="AQ68" s="33">
        <f>SUM(Projects[[#This Row],[2024 Actual]],Projects[[#This Row],[2025 Actual ]])</f>
        <v>65630.489999999991</v>
      </c>
      <c r="AS68" s="173">
        <f>IF(Projects[[#This Row],[WRP Funding Allocated USD]]=0,"-",Projects[[#This Row],[Actual Spend USD]]/Projects[[#This Row],[WRP Funding Allocated USD]])</f>
        <v>9.8690909371970947E-2</v>
      </c>
      <c r="AY68" s="150" t="e">
        <f>Projects[[#This Row],[No. Action Completed]]/Projects[[#This Row],[No. Actions Identified]]</f>
        <v>#DIV/0!</v>
      </c>
      <c r="BC68" s="15"/>
      <c r="BD68" s="15"/>
      <c r="BE68" s="17" t="s">
        <v>241</v>
      </c>
      <c r="BF68" s="17" t="s">
        <v>241</v>
      </c>
      <c r="BG68" s="38">
        <v>1</v>
      </c>
      <c r="BH68" s="38">
        <v>1</v>
      </c>
      <c r="BI68" s="64" t="s">
        <v>221</v>
      </c>
      <c r="BJ68" s="64" t="s">
        <v>221</v>
      </c>
      <c r="BK68" s="151" t="s">
        <v>418</v>
      </c>
      <c r="BL68" s="151" t="s">
        <v>422</v>
      </c>
    </row>
    <row r="69" spans="1:64" ht="40.5" customHeight="1">
      <c r="A69" s="32">
        <f>INDEX('Implementation Plan V2 Sep25'!A:A,MATCH(E69,'Implementation Plan V2 Sep25'!F:F,0))</f>
        <v>1</v>
      </c>
      <c r="B69" s="33" t="str">
        <f>INDEX('Implementation Plan V2 Sep25'!C:C,MATCH(E69,'Implementation Plan V2 Sep25'!F:F,0))</f>
        <v>Output 1.1 WRP governance, management and financing mechanisms established, mandated and equipped to coordinate a Pacific-led, integrated, and sustainable programme</v>
      </c>
      <c r="C69" s="33" t="str">
        <f>INDEX('Implementation Plan V2 Sep25'!E:E,MATCH(E69,'Implementation Plan V2 Sep25'!F:F,0))</f>
        <v>1.1.4</v>
      </c>
      <c r="D69" s="33">
        <f>INDEX('Implementation Plan V2 Sep25'!D:D,MATCH(E69,'Implementation Plan V2 Sep25'!F:F,0))</f>
        <v>14</v>
      </c>
      <c r="E69" s="2" t="s">
        <v>26</v>
      </c>
      <c r="F69" s="2" t="s">
        <v>423</v>
      </c>
      <c r="G69" s="2">
        <f>Projects[[#This Row],[Activity Ref]]</f>
        <v>14</v>
      </c>
      <c r="H69" s="11">
        <v>0</v>
      </c>
      <c r="J69" s="2" t="str">
        <f>IF(OR(ISBLANK(Projects[[#This Row],[Task]]),Projects[[#This Row],[Task]]=0),"",CONCATENATE(Projects[[#This Row],[Phase]],Projects[[#This Row],[Task]]))</f>
        <v/>
      </c>
      <c r="K69" s="2" t="s">
        <v>386</v>
      </c>
      <c r="L69" s="2" t="s">
        <v>229</v>
      </c>
      <c r="S69" s="13">
        <f>Projects[[#This Row],[2026 Budget]]*5/12+Projects[[#This Row],[2025]]</f>
        <v>44774.456666666672</v>
      </c>
      <c r="T69" s="2" t="s">
        <v>216</v>
      </c>
      <c r="U69" s="2" t="s">
        <v>232</v>
      </c>
      <c r="V69" s="40">
        <f t="shared" si="3"/>
        <v>187780.96000000002</v>
      </c>
      <c r="W69" s="2"/>
      <c r="X69" s="17"/>
      <c r="Y69" s="17"/>
      <c r="Z69" s="2" t="s">
        <v>346</v>
      </c>
      <c r="AA69" s="40">
        <f t="shared" si="4"/>
        <v>187780.96000000002</v>
      </c>
      <c r="AB69" s="40" t="str">
        <f>IFERROR(INDEX(#REF!,MATCH(#REF!,#REF!,0)),"")</f>
        <v/>
      </c>
      <c r="AC69" s="40" t="str">
        <f>IFERROR(INDEX(#REF!,MATCH(#REF!,#REF!,0)),"")</f>
        <v/>
      </c>
      <c r="AD69" s="19">
        <v>9778.17</v>
      </c>
      <c r="AE69" s="19">
        <v>29282.790000000008</v>
      </c>
      <c r="AF69" s="196">
        <v>37180</v>
      </c>
      <c r="AG69" s="196">
        <v>37180</v>
      </c>
      <c r="AH69" s="196">
        <v>37180</v>
      </c>
      <c r="AI69" s="196">
        <v>37180</v>
      </c>
      <c r="AN69" s="13">
        <v>12239.65</v>
      </c>
      <c r="AO69" s="13">
        <v>13723.23</v>
      </c>
      <c r="AP69" s="13">
        <f>Projects[[#This Row],[2025]]</f>
        <v>29282.790000000008</v>
      </c>
      <c r="AQ69" s="33">
        <f>SUM(Projects[[#This Row],[2024 Actual]],Projects[[#This Row],[2025 Actual ]])</f>
        <v>41522.44000000001</v>
      </c>
      <c r="AS69" s="173">
        <f>IF(Projects[[#This Row],[WRP Funding Allocated USD]]=0,"-",Projects[[#This Row],[Actual Spend USD]]/Projects[[#This Row],[WRP Funding Allocated USD]])</f>
        <v>0.22112167282561557</v>
      </c>
      <c r="AY69" s="150" t="e">
        <f>Projects[[#This Row],[No. Action Completed]]/Projects[[#This Row],[No. Actions Identified]]</f>
        <v>#DIV/0!</v>
      </c>
      <c r="BC69" s="15"/>
      <c r="BD69" s="15"/>
      <c r="BE69" s="17" t="s">
        <v>241</v>
      </c>
      <c r="BF69" s="17" t="s">
        <v>241</v>
      </c>
      <c r="BG69" s="38">
        <v>1</v>
      </c>
      <c r="BH69" s="38">
        <v>1</v>
      </c>
      <c r="BI69" s="64" t="s">
        <v>221</v>
      </c>
      <c r="BJ69" s="64" t="s">
        <v>221</v>
      </c>
      <c r="BK69" s="151" t="s">
        <v>418</v>
      </c>
      <c r="BL69" s="151" t="s">
        <v>424</v>
      </c>
    </row>
    <row r="70" spans="1:64" ht="51" customHeight="1">
      <c r="A70" s="32">
        <f>INDEX('Implementation Plan V2 Sep25'!A:A,MATCH(E70,'Implementation Plan V2 Sep25'!F:F,0))</f>
        <v>1</v>
      </c>
      <c r="B70" s="33" t="str">
        <f>INDEX('Implementation Plan V2 Sep25'!C:C,MATCH(E70,'Implementation Plan V2 Sep25'!F:F,0))</f>
        <v>Output 1.3 Transformative GEDSI strategy adopted and integrated across governance, management and partner programming</v>
      </c>
      <c r="C70" s="33" t="str">
        <f>INDEX('Implementation Plan V2 Sep25'!E:E,MATCH(E70,'Implementation Plan V2 Sep25'!F:F,0))</f>
        <v>1.3.1</v>
      </c>
      <c r="D70" s="33">
        <f>INDEX('Implementation Plan V2 Sep25'!D:D,MATCH(E70,'Implementation Plan V2 Sep25'!F:F,0))</f>
        <v>81</v>
      </c>
      <c r="E70" s="2" t="s">
        <v>37</v>
      </c>
      <c r="F70" s="2" t="s">
        <v>425</v>
      </c>
      <c r="G70" s="2">
        <f>Projects[[#This Row],[Activity Ref]]</f>
        <v>81</v>
      </c>
      <c r="H70" s="11">
        <v>0</v>
      </c>
      <c r="J70" s="2" t="str">
        <f>IF(OR(ISBLANK(Projects[[#This Row],[Task]]),Projects[[#This Row],[Task]]=0),"",CONCATENATE(Projects[[#This Row],[Phase]],Projects[[#This Row],[Task]]))</f>
        <v/>
      </c>
      <c r="K70" s="2" t="s">
        <v>224</v>
      </c>
      <c r="L70" s="2" t="s">
        <v>229</v>
      </c>
      <c r="S70" s="13"/>
      <c r="T70" s="2" t="s">
        <v>216</v>
      </c>
      <c r="U70" s="2" t="s">
        <v>217</v>
      </c>
      <c r="V70" s="40">
        <f t="shared" si="3"/>
        <v>86400</v>
      </c>
      <c r="W70" s="2"/>
      <c r="X70" s="22"/>
      <c r="Y70" s="22"/>
      <c r="Z70" s="2" t="s">
        <v>426</v>
      </c>
      <c r="AA70" s="40">
        <f t="shared" si="4"/>
        <v>86400</v>
      </c>
      <c r="AB70" s="40" t="str">
        <f>IFERROR(INDEX(#REF!,MATCH(#REF!,#REF!,0)),"")</f>
        <v/>
      </c>
      <c r="AC70" s="40" t="str">
        <f>IFERROR(INDEX(#REF!,MATCH(#REF!,#REF!,0)),"")</f>
        <v/>
      </c>
      <c r="AD70" s="13"/>
      <c r="AE70" s="157">
        <v>86400</v>
      </c>
      <c r="AF70" s="13"/>
      <c r="AG70" s="13"/>
      <c r="AO70" s="13">
        <f>Projects[[#This Row],[2025]]*6/9</f>
        <v>57600</v>
      </c>
      <c r="AQ70" s="33">
        <f>SUM(Projects[[#This Row],[2024 Actual]],Projects[[#This Row],[2025 Actual ]])</f>
        <v>0</v>
      </c>
      <c r="AS70" s="173">
        <f>IF(Projects[[#This Row],[WRP Funding Allocated USD]]=0,"-",Projects[[#This Row],[Actual Spend USD]]/Projects[[#This Row],[WRP Funding Allocated USD]])</f>
        <v>0</v>
      </c>
      <c r="AY70" s="150" t="e">
        <f>Projects[[#This Row],[No. Action Completed]]/Projects[[#This Row],[No. Actions Identified]]</f>
        <v>#DIV/0!</v>
      </c>
      <c r="BC70" s="15"/>
      <c r="BD70" s="15"/>
      <c r="BE70" s="17" t="s">
        <v>220</v>
      </c>
      <c r="BF70" s="17" t="s">
        <v>220</v>
      </c>
      <c r="BG70" s="38">
        <v>0.8</v>
      </c>
      <c r="BH70" s="38">
        <v>0.8</v>
      </c>
      <c r="BI70" s="64" t="s">
        <v>221</v>
      </c>
      <c r="BJ70" s="64" t="s">
        <v>221</v>
      </c>
      <c r="BK70" s="151" t="s">
        <v>242</v>
      </c>
      <c r="BL70" s="151" t="s">
        <v>427</v>
      </c>
    </row>
    <row r="71" spans="1:64" ht="79.5" customHeight="1">
      <c r="A71" s="32">
        <f>INDEX('Implementation Plan V2 Sep25'!A:A,MATCH(E71,'Implementation Plan V2 Sep25'!F:F,0))</f>
        <v>1</v>
      </c>
      <c r="B71" s="33" t="str">
        <f>INDEX('Implementation Plan V2 Sep25'!C:C,MATCH(E71,'Implementation Plan V2 Sep25'!F:F,0))</f>
        <v>Output 1.1 WRP governance, management and financing mechanisms established, mandated and equipped to coordinate a Pacific-led, integrated, and sustainable programme</v>
      </c>
      <c r="C71" s="33" t="str">
        <f>INDEX('Implementation Plan V2 Sep25'!E:E,MATCH(E71,'Implementation Plan V2 Sep25'!F:F,0))</f>
        <v>1.1.4</v>
      </c>
      <c r="D71" s="33">
        <f>INDEX('Implementation Plan V2 Sep25'!D:D,MATCH(E71,'Implementation Plan V2 Sep25'!F:F,0))</f>
        <v>14</v>
      </c>
      <c r="E71" s="2" t="s">
        <v>26</v>
      </c>
      <c r="F71" s="2" t="s">
        <v>428</v>
      </c>
      <c r="G71" s="2">
        <f>Projects[[#This Row],[Activity Ref]]</f>
        <v>14</v>
      </c>
      <c r="H71" s="11">
        <v>0</v>
      </c>
      <c r="J71" s="2" t="str">
        <f>IF(OR(ISBLANK(Projects[[#This Row],[Task]]),Projects[[#This Row],[Task]]=0),"",CONCATENATE(Projects[[#This Row],[Phase]],Projects[[#This Row],[Task]]))</f>
        <v/>
      </c>
      <c r="K71" s="2" t="s">
        <v>386</v>
      </c>
      <c r="L71" s="2" t="s">
        <v>229</v>
      </c>
      <c r="Q71" s="2">
        <v>2025</v>
      </c>
      <c r="R71" s="2" t="s">
        <v>429</v>
      </c>
      <c r="S71" s="13">
        <f>Projects[[#This Row],[2026 Budget]]*5/12</f>
        <v>23433.506944444449</v>
      </c>
      <c r="T71" s="2" t="s">
        <v>216</v>
      </c>
      <c r="U71" s="2" t="s">
        <v>232</v>
      </c>
      <c r="V71" s="40">
        <f t="shared" si="3"/>
        <v>461171.41666666669</v>
      </c>
      <c r="W71" s="2"/>
      <c r="X71" s="22"/>
      <c r="Y71" s="22"/>
      <c r="Z71" s="2" t="s">
        <v>346</v>
      </c>
      <c r="AA71" s="40">
        <f t="shared" si="4"/>
        <v>461171.41666666669</v>
      </c>
      <c r="AB71" s="40" t="str">
        <f>IFERROR(INDEX(#REF!,MATCH(#REF!,#REF!,0)),"")</f>
        <v/>
      </c>
      <c r="AC71" s="40" t="str">
        <f>IFERROR(INDEX(#REF!,MATCH(#REF!,#REF!,0)),"")</f>
        <v/>
      </c>
      <c r="AD71" s="13"/>
      <c r="AE71" s="20"/>
      <c r="AF71" s="196">
        <v>56240.416666666672</v>
      </c>
      <c r="AG71" s="196">
        <v>134977</v>
      </c>
      <c r="AH71" s="196">
        <v>134977</v>
      </c>
      <c r="AI71" s="196">
        <v>134977</v>
      </c>
      <c r="AQ71" s="33">
        <f>SUM(Projects[[#This Row],[2024 Actual]],Projects[[#This Row],[2025 Actual ]])</f>
        <v>0</v>
      </c>
      <c r="AS71" s="173">
        <f>IF(Projects[[#This Row],[WRP Funding Allocated USD]]=0,"-",Projects[[#This Row],[Actual Spend USD]]/Projects[[#This Row],[WRP Funding Allocated USD]])</f>
        <v>0</v>
      </c>
      <c r="AY71" s="150" t="e">
        <f>Projects[[#This Row],[No. Action Completed]]/Projects[[#This Row],[No. Actions Identified]]</f>
        <v>#DIV/0!</v>
      </c>
      <c r="BC71" s="15"/>
      <c r="BD71" s="15"/>
      <c r="BE71" s="17" t="s">
        <v>297</v>
      </c>
      <c r="BF71" s="17" t="s">
        <v>297</v>
      </c>
      <c r="BG71" s="38">
        <v>0.1</v>
      </c>
      <c r="BH71" s="38">
        <v>0.1</v>
      </c>
      <c r="BI71" s="64" t="s">
        <v>254</v>
      </c>
      <c r="BJ71" s="64" t="s">
        <v>254</v>
      </c>
      <c r="BK71" s="17" t="s">
        <v>430</v>
      </c>
      <c r="BL71" s="17" t="s">
        <v>431</v>
      </c>
    </row>
    <row r="72" spans="1:64" ht="47.65" customHeight="1">
      <c r="A72" s="32">
        <f>INDEX('Implementation Plan V2 Sep25'!A:A,MATCH(E72,'Implementation Plan V2 Sep25'!F:F,0))</f>
        <v>2</v>
      </c>
      <c r="B72" s="33" t="str">
        <f>INDEX('Implementation Plan V2 Sep25'!C:C,MATCH(E72,'Implementation Plan V2 Sep25'!F:F,0))</f>
        <v>OP2.2 Inclusive leadership and technical capability strengthening programmes established and delivering ongoing training to industry standards</v>
      </c>
      <c r="C72" s="33" t="str">
        <f>INDEX('Implementation Plan V2 Sep25'!E:E,MATCH(E72,'Implementation Plan V2 Sep25'!F:F,0))</f>
        <v>2.2.6</v>
      </c>
      <c r="D72" s="33">
        <f>INDEX('Implementation Plan V2 Sep25'!D:D,MATCH(E72,'Implementation Plan V2 Sep25'!F:F,0))</f>
        <v>27</v>
      </c>
      <c r="E72" s="2" t="s">
        <v>58</v>
      </c>
      <c r="F72" s="2" t="s">
        <v>432</v>
      </c>
      <c r="G72" s="2">
        <f>Projects[[#This Row],[Activity Ref]]</f>
        <v>27</v>
      </c>
      <c r="H72" s="45" t="s">
        <v>275</v>
      </c>
      <c r="J72" s="2" t="str">
        <f>IF(OR(ISBLANK(Projects[[#This Row],[Task]]),Projects[[#This Row],[Task]]=0),"",CONCATENATE(Projects[[#This Row],[Phase]],Projects[[#This Row],[Task]]))</f>
        <v>2703</v>
      </c>
      <c r="K72" s="2" t="s">
        <v>386</v>
      </c>
      <c r="L72" s="2" t="s">
        <v>229</v>
      </c>
      <c r="Q72" s="2">
        <v>2025</v>
      </c>
      <c r="R72" s="2" t="s">
        <v>433</v>
      </c>
      <c r="S72" s="13"/>
      <c r="T72" s="2" t="s">
        <v>216</v>
      </c>
      <c r="U72" s="2" t="s">
        <v>232</v>
      </c>
      <c r="V72" s="40">
        <f t="shared" si="3"/>
        <v>129352.06000000001</v>
      </c>
      <c r="W72" s="2"/>
      <c r="X72" s="13"/>
      <c r="Y72" s="13"/>
      <c r="Z72" s="2" t="s">
        <v>240</v>
      </c>
      <c r="AA72" s="40">
        <f t="shared" si="4"/>
        <v>129352.06000000001</v>
      </c>
      <c r="AB72" s="40" t="str">
        <f>IFERROR(INDEX(#REF!,MATCH(#REF!,#REF!,0)),"")</f>
        <v/>
      </c>
      <c r="AC72" s="40" t="str">
        <f>IFERROR(INDEX(#REF!,MATCH(#REF!,#REF!,0)),"")</f>
        <v/>
      </c>
      <c r="AD72" s="13"/>
      <c r="AE72" s="19">
        <v>17405.060000000001</v>
      </c>
      <c r="AF72" s="19">
        <f>93856.77+1803.63-7582.84+24557.47-688.03</f>
        <v>111947.00000000001</v>
      </c>
      <c r="AG72" s="13"/>
      <c r="AP72" s="13">
        <f>Projects[[#This Row],[2025]]</f>
        <v>17405.060000000001</v>
      </c>
      <c r="AQ72" s="33">
        <f>SUM(Projects[[#This Row],[2024 Actual]],Projects[[#This Row],[2025 Actual ]])</f>
        <v>17405.060000000001</v>
      </c>
      <c r="AS72" s="173">
        <f>IF(Projects[[#This Row],[WRP Funding Allocated USD]]=0,"-",Projects[[#This Row],[Actual Spend USD]]/Projects[[#This Row],[WRP Funding Allocated USD]])</f>
        <v>0.13455572334912949</v>
      </c>
      <c r="AY72" s="150" t="e">
        <f>Projects[[#This Row],[No. Action Completed]]/Projects[[#This Row],[No. Actions Identified]]</f>
        <v>#DIV/0!</v>
      </c>
      <c r="BC72" s="15"/>
      <c r="BD72" s="15"/>
      <c r="BE72" s="17" t="s">
        <v>235</v>
      </c>
      <c r="BF72" s="17" t="s">
        <v>235</v>
      </c>
      <c r="BG72" s="38">
        <v>0.5</v>
      </c>
      <c r="BH72" s="38">
        <v>0.5</v>
      </c>
      <c r="BI72" s="64" t="s">
        <v>254</v>
      </c>
      <c r="BJ72" s="64" t="s">
        <v>254</v>
      </c>
      <c r="BK72" s="17" t="s">
        <v>434</v>
      </c>
      <c r="BL72" s="17" t="s">
        <v>435</v>
      </c>
    </row>
    <row r="73" spans="1:64" ht="54.75" customHeight="1">
      <c r="A73" s="32">
        <f>INDEX('Implementation Plan V2 Sep25'!A:A,MATCH(E73,'Implementation Plan V2 Sep25'!F:F,0))</f>
        <v>2</v>
      </c>
      <c r="B73" s="33" t="str">
        <f>INDEX('Implementation Plan V2 Sep25'!C:C,MATCH(E73,'Implementation Plan V2 Sep25'!F:F,0))</f>
        <v>OP2.2 Inclusive leadership and technical capability strengthening programmes established and delivering ongoing training to industry standards</v>
      </c>
      <c r="C73" s="33" t="str">
        <f>INDEX('Implementation Plan V2 Sep25'!E:E,MATCH(E73,'Implementation Plan V2 Sep25'!F:F,0))</f>
        <v>2.2.6</v>
      </c>
      <c r="D73" s="33">
        <f>INDEX('Implementation Plan V2 Sep25'!D:D,MATCH(E73,'Implementation Plan V2 Sep25'!F:F,0))</f>
        <v>27</v>
      </c>
      <c r="E73" s="2" t="s">
        <v>58</v>
      </c>
      <c r="F73" s="2" t="s">
        <v>436</v>
      </c>
      <c r="G73" s="2">
        <f>Projects[[#This Row],[Activity Ref]]</f>
        <v>27</v>
      </c>
      <c r="H73" s="11">
        <v>0</v>
      </c>
      <c r="J73" s="2" t="str">
        <f>IF(OR(ISBLANK(Projects[[#This Row],[Task]]),Projects[[#This Row],[Task]]=0),"",CONCATENATE(Projects[[#This Row],[Phase]],Projects[[#This Row],[Task]]))</f>
        <v/>
      </c>
      <c r="K73" s="2" t="s">
        <v>386</v>
      </c>
      <c r="L73" s="2" t="s">
        <v>229</v>
      </c>
      <c r="S73" s="19"/>
      <c r="T73" s="2" t="s">
        <v>216</v>
      </c>
      <c r="U73" s="2" t="s">
        <v>232</v>
      </c>
      <c r="V73" s="40">
        <f t="shared" si="3"/>
        <v>585022.16666666663</v>
      </c>
      <c r="W73" s="2"/>
      <c r="X73" s="13"/>
      <c r="Y73" s="13"/>
      <c r="Z73" s="2" t="s">
        <v>248</v>
      </c>
      <c r="AA73" s="40">
        <f t="shared" si="4"/>
        <v>585022.16666666663</v>
      </c>
      <c r="AB73" s="40" t="str">
        <f>IFERROR(INDEX(#REF!,MATCH(#REF!,#REF!,0)),"")</f>
        <v/>
      </c>
      <c r="AC73" s="40" t="str">
        <f>IFERROR(INDEX(#REF!,MATCH(#REF!,#REF!,0)),"")</f>
        <v/>
      </c>
      <c r="AD73" s="13"/>
      <c r="AE73" s="13"/>
      <c r="AF73" s="59">
        <v>95236.166666666657</v>
      </c>
      <c r="AG73" s="13">
        <v>163262</v>
      </c>
      <c r="AH73" s="13">
        <v>163262</v>
      </c>
      <c r="AI73" s="13">
        <v>163262</v>
      </c>
      <c r="AQ73" s="33">
        <f>SUM(Projects[[#This Row],[2024 Actual]],Projects[[#This Row],[2025 Actual ]])</f>
        <v>0</v>
      </c>
      <c r="AS73" s="173">
        <f>IF(Projects[[#This Row],[WRP Funding Allocated USD]]=0,"-",Projects[[#This Row],[Actual Spend USD]]/Projects[[#This Row],[WRP Funding Allocated USD]])</f>
        <v>0</v>
      </c>
      <c r="AY73" s="150" t="e">
        <f>Projects[[#This Row],[No. Action Completed]]/Projects[[#This Row],[No. Actions Identified]]</f>
        <v>#DIV/0!</v>
      </c>
      <c r="BC73" s="15"/>
      <c r="BD73" s="15"/>
      <c r="BE73" s="17" t="s">
        <v>235</v>
      </c>
      <c r="BF73" s="17" t="s">
        <v>235</v>
      </c>
      <c r="BG73" s="38">
        <v>0.5</v>
      </c>
      <c r="BH73" s="38">
        <v>0.5</v>
      </c>
      <c r="BI73" s="64" t="s">
        <v>254</v>
      </c>
      <c r="BJ73" s="64" t="s">
        <v>254</v>
      </c>
      <c r="BK73" s="17" t="s">
        <v>242</v>
      </c>
      <c r="BL73" s="17" t="s">
        <v>435</v>
      </c>
    </row>
    <row r="74" spans="1:64" ht="54" customHeight="1">
      <c r="A74" s="32">
        <f>INDEX('Implementation Plan V2 Sep25'!A:A,MATCH(E74,'Implementation Plan V2 Sep25'!F:F,0))</f>
        <v>5</v>
      </c>
      <c r="B74" s="33" t="str">
        <f>INDEX('Implementation Plan V2 Sep25'!C:C,MATCH(E74,'Implementation Plan V2 Sep25'!F:F,0))</f>
        <v>Output 5.1 Pacific capacity and collaborative approaches to deliver locally-relevant, impact-based, inclusive and accessible forecasts and warnings for end users strengthened and sustained</v>
      </c>
      <c r="C74" s="33" t="str">
        <f>INDEX('Implementation Plan V2 Sep25'!E:E,MATCH(E74,'Implementation Plan V2 Sep25'!F:F,0))</f>
        <v>5.1.7</v>
      </c>
      <c r="D74" s="33">
        <f>INDEX('Implementation Plan V2 Sep25'!D:D,MATCH(E74,'Implementation Plan V2 Sep25'!F:F,0))</f>
        <v>57</v>
      </c>
      <c r="E74" s="2" t="s">
        <v>142</v>
      </c>
      <c r="F74" s="2" t="s">
        <v>437</v>
      </c>
      <c r="G74" s="2">
        <f>Projects[[#This Row],[Activity Ref]]</f>
        <v>57</v>
      </c>
      <c r="H74" s="11">
        <v>0</v>
      </c>
      <c r="J74" s="2" t="str">
        <f>IF(OR(ISBLANK(Projects[[#This Row],[Task]]),Projects[[#This Row],[Task]]=0),"",CONCATENATE(Projects[[#This Row],[Phase]],Projects[[#This Row],[Task]]))</f>
        <v/>
      </c>
      <c r="K74" s="2" t="s">
        <v>386</v>
      </c>
      <c r="L74" s="2" t="s">
        <v>229</v>
      </c>
      <c r="Q74" s="2">
        <v>2025</v>
      </c>
      <c r="R74" s="2" t="s">
        <v>438</v>
      </c>
      <c r="S74" s="13">
        <f>Projects[[#This Row],[2026 Budget]]*5/12</f>
        <v>0</v>
      </c>
      <c r="T74" s="2" t="s">
        <v>216</v>
      </c>
      <c r="U74" s="2" t="s">
        <v>232</v>
      </c>
      <c r="V74" s="40">
        <f t="shared" si="3"/>
        <v>163262</v>
      </c>
      <c r="W74" s="2"/>
      <c r="X74" s="17"/>
      <c r="Y74" s="17"/>
      <c r="Z74" s="2" t="s">
        <v>248</v>
      </c>
      <c r="AA74" s="40">
        <f t="shared" si="4"/>
        <v>163262</v>
      </c>
      <c r="AB74" s="40" t="str">
        <f>IFERROR(INDEX(#REF!,MATCH(#REF!,#REF!,0)),"")</f>
        <v/>
      </c>
      <c r="AC74" s="40" t="str">
        <f>IFERROR(INDEX(#REF!,MATCH(#REF!,#REF!,0)),"")</f>
        <v/>
      </c>
      <c r="AD74" s="13"/>
      <c r="AE74" s="13"/>
      <c r="AF74" s="13"/>
      <c r="AG74" s="13"/>
      <c r="AI74" s="13">
        <v>163262</v>
      </c>
      <c r="AQ74" s="33">
        <f>SUM(Projects[[#This Row],[2024 Actual]],Projects[[#This Row],[2025 Actual ]])</f>
        <v>0</v>
      </c>
      <c r="AS74" s="173">
        <f>IF(Projects[[#This Row],[WRP Funding Allocated USD]]=0,"-",Projects[[#This Row],[Actual Spend USD]]/Projects[[#This Row],[WRP Funding Allocated USD]])</f>
        <v>0</v>
      </c>
      <c r="AY74" s="150" t="e">
        <f>Projects[[#This Row],[No. Action Completed]]/Projects[[#This Row],[No. Actions Identified]]</f>
        <v>#DIV/0!</v>
      </c>
      <c r="BC74" s="15"/>
      <c r="BD74" s="15"/>
      <c r="BE74" s="17" t="s">
        <v>276</v>
      </c>
      <c r="BF74" s="17" t="s">
        <v>276</v>
      </c>
      <c r="BG74" s="38">
        <v>0</v>
      </c>
      <c r="BH74" s="38">
        <v>0</v>
      </c>
      <c r="BI74" s="64" t="s">
        <v>119</v>
      </c>
      <c r="BJ74" s="64" t="s">
        <v>119</v>
      </c>
      <c r="BK74" s="17" t="s">
        <v>242</v>
      </c>
      <c r="BL74" s="17" t="s">
        <v>439</v>
      </c>
    </row>
    <row r="75" spans="1:64" ht="40.5" customHeight="1">
      <c r="A75" s="32">
        <f>INDEX('Implementation Plan V2 Sep25'!A:A,MATCH(E75,'Implementation Plan V2 Sep25'!F:F,0))</f>
        <v>1</v>
      </c>
      <c r="B75" s="33" t="str">
        <f>INDEX('Implementation Plan V2 Sep25'!C:C,MATCH(E75,'Implementation Plan V2 Sep25'!F:F,0))</f>
        <v>Output 1.1 WRP governance, management and financing mechanisms established, mandated and equipped to coordinate a Pacific-led, integrated, and sustainable programme</v>
      </c>
      <c r="C75" s="33" t="str">
        <f>INDEX('Implementation Plan V2 Sep25'!E:E,MATCH(E75,'Implementation Plan V2 Sep25'!F:F,0))</f>
        <v>1.1.4</v>
      </c>
      <c r="D75" s="33">
        <f>INDEX('Implementation Plan V2 Sep25'!D:D,MATCH(E75,'Implementation Plan V2 Sep25'!F:F,0))</f>
        <v>14</v>
      </c>
      <c r="E75" s="2" t="s">
        <v>26</v>
      </c>
      <c r="F75" s="2" t="s">
        <v>440</v>
      </c>
      <c r="G75" s="2">
        <f>Projects[[#This Row],[Activity Ref]]</f>
        <v>14</v>
      </c>
      <c r="H75" s="11">
        <v>0</v>
      </c>
      <c r="J75" s="2" t="str">
        <f>IF(OR(ISBLANK(Projects[[#This Row],[Task]]),Projects[[#This Row],[Task]]=0),"",CONCATENATE(Projects[[#This Row],[Phase]],Projects[[#This Row],[Task]]))</f>
        <v/>
      </c>
      <c r="K75" s="2" t="s">
        <v>386</v>
      </c>
      <c r="L75" s="2" t="s">
        <v>229</v>
      </c>
      <c r="Q75" s="2">
        <v>2025</v>
      </c>
      <c r="R75" s="2" t="s">
        <v>441</v>
      </c>
      <c r="S75" s="13">
        <f>Projects[[#This Row],[2026 Budget]]*5/12+Projects[[#This Row],[2025]]</f>
        <v>94961.636666666658</v>
      </c>
      <c r="T75" s="2" t="s">
        <v>216</v>
      </c>
      <c r="U75" s="2" t="s">
        <v>232</v>
      </c>
      <c r="V75" s="40">
        <f t="shared" si="3"/>
        <v>578629.22</v>
      </c>
      <c r="W75" s="2"/>
      <c r="X75" s="17"/>
      <c r="Y75" s="17"/>
      <c r="Z75" s="2" t="s">
        <v>248</v>
      </c>
      <c r="AA75" s="40">
        <f t="shared" si="4"/>
        <v>578629.22</v>
      </c>
      <c r="AB75" s="40" t="str">
        <f>IFERROR(INDEX(#REF!,MATCH(#REF!,#REF!,0)),"")</f>
        <v/>
      </c>
      <c r="AC75" s="40" t="str">
        <f>IFERROR(INDEX(#REF!,MATCH(#REF!,#REF!,0)),"")</f>
        <v/>
      </c>
      <c r="AD75" s="13"/>
      <c r="AE75" s="19">
        <v>38721.219999999994</v>
      </c>
      <c r="AF75" s="196">
        <v>134977</v>
      </c>
      <c r="AG75" s="196">
        <v>134977</v>
      </c>
      <c r="AH75" s="196">
        <v>134977</v>
      </c>
      <c r="AI75" s="196">
        <v>134977</v>
      </c>
      <c r="AP75" s="13">
        <f>Projects[[#This Row],[2025]]</f>
        <v>38721.219999999994</v>
      </c>
      <c r="AQ75" s="33">
        <f>SUM(Projects[[#This Row],[2024 Actual]],Projects[[#This Row],[2025 Actual ]])</f>
        <v>38721.219999999994</v>
      </c>
      <c r="AS75" s="173">
        <f>IF(Projects[[#This Row],[WRP Funding Allocated USD]]=0,"-",Projects[[#This Row],[Actual Spend USD]]/Projects[[#This Row],[WRP Funding Allocated USD]])</f>
        <v>6.6918881144647335E-2</v>
      </c>
      <c r="AY75" s="150" t="e">
        <f>Projects[[#This Row],[No. Action Completed]]/Projects[[#This Row],[No. Actions Identified]]</f>
        <v>#DIV/0!</v>
      </c>
      <c r="BC75" s="15"/>
      <c r="BD75" s="15"/>
      <c r="BE75" s="17" t="s">
        <v>442</v>
      </c>
      <c r="BF75" s="17" t="s">
        <v>442</v>
      </c>
      <c r="BG75" s="38">
        <v>0.5</v>
      </c>
      <c r="BH75" s="38">
        <v>0.5</v>
      </c>
      <c r="BI75" s="64" t="s">
        <v>254</v>
      </c>
      <c r="BJ75" s="64" t="s">
        <v>254</v>
      </c>
      <c r="BK75" s="17" t="s">
        <v>303</v>
      </c>
      <c r="BL75" s="17" t="s">
        <v>435</v>
      </c>
    </row>
    <row r="76" spans="1:64" ht="40.5" customHeight="1">
      <c r="A76" s="32">
        <f>INDEX('Implementation Plan V2 Sep25'!A:A,MATCH(E76,'Implementation Plan V2 Sep25'!F:F,0))</f>
        <v>1</v>
      </c>
      <c r="B76" s="33" t="str">
        <f>INDEX('Implementation Plan V2 Sep25'!C:C,MATCH(E76,'Implementation Plan V2 Sep25'!F:F,0))</f>
        <v>Output 1.1 WRP governance, management and financing mechanisms established, mandated and equipped to coordinate a Pacific-led, integrated, and sustainable programme</v>
      </c>
      <c r="C76" s="33" t="str">
        <f>INDEX('Implementation Plan V2 Sep25'!E:E,MATCH(E76,'Implementation Plan V2 Sep25'!F:F,0))</f>
        <v>1.1.4</v>
      </c>
      <c r="D76" s="33">
        <f>INDEX('Implementation Plan V2 Sep25'!D:D,MATCH(E76,'Implementation Plan V2 Sep25'!F:F,0))</f>
        <v>14</v>
      </c>
      <c r="E76" s="2" t="s">
        <v>26</v>
      </c>
      <c r="F76" s="2" t="s">
        <v>443</v>
      </c>
      <c r="G76" s="2">
        <f>Projects[[#This Row],[Activity Ref]]</f>
        <v>14</v>
      </c>
      <c r="H76" s="11">
        <v>0</v>
      </c>
      <c r="J76" s="2" t="str">
        <f>IF(OR(ISBLANK(Projects[[#This Row],[Task]]),Projects[[#This Row],[Task]]=0),"",CONCATENATE(Projects[[#This Row],[Phase]],Projects[[#This Row],[Task]]))</f>
        <v/>
      </c>
      <c r="K76" s="2" t="s">
        <v>386</v>
      </c>
      <c r="L76" s="2" t="s">
        <v>229</v>
      </c>
      <c r="Q76" s="2">
        <v>2025</v>
      </c>
      <c r="R76" s="2" t="s">
        <v>444</v>
      </c>
      <c r="S76" s="13">
        <f>Projects[[#This Row],[2026 Budget]]*5/12</f>
        <v>56240.416666666664</v>
      </c>
      <c r="T76" s="2" t="s">
        <v>216</v>
      </c>
      <c r="U76" s="2" t="s">
        <v>232</v>
      </c>
      <c r="V76" s="40">
        <f t="shared" si="3"/>
        <v>539908</v>
      </c>
      <c r="W76" s="2"/>
      <c r="X76" s="17"/>
      <c r="Y76" s="17"/>
      <c r="Z76" s="2" t="s">
        <v>248</v>
      </c>
      <c r="AA76" s="40">
        <f t="shared" si="4"/>
        <v>539908</v>
      </c>
      <c r="AB76" s="40" t="str">
        <f>IFERROR(INDEX(#REF!,MATCH(#REF!,#REF!,0)),"")</f>
        <v/>
      </c>
      <c r="AC76" s="40" t="str">
        <f>IFERROR(INDEX(#REF!,MATCH(#REF!,#REF!,0)),"")</f>
        <v/>
      </c>
      <c r="AD76" s="13"/>
      <c r="AE76" s="20"/>
      <c r="AF76" s="196">
        <v>134977</v>
      </c>
      <c r="AG76" s="196">
        <v>134977</v>
      </c>
      <c r="AH76" s="196">
        <v>134977</v>
      </c>
      <c r="AI76" s="196">
        <v>134977</v>
      </c>
      <c r="AQ76" s="33">
        <f>SUM(Projects[[#This Row],[2024 Actual]],Projects[[#This Row],[2025 Actual ]])</f>
        <v>0</v>
      </c>
      <c r="AS76" s="173">
        <f>IF(Projects[[#This Row],[WRP Funding Allocated USD]]=0,"-",Projects[[#This Row],[Actual Spend USD]]/Projects[[#This Row],[WRP Funding Allocated USD]])</f>
        <v>0</v>
      </c>
      <c r="AY76" s="150" t="e">
        <f>Projects[[#This Row],[No. Action Completed]]/Projects[[#This Row],[No. Actions Identified]]</f>
        <v>#DIV/0!</v>
      </c>
      <c r="BC76" s="15"/>
      <c r="BD76" s="15"/>
      <c r="BE76" s="17" t="s">
        <v>442</v>
      </c>
      <c r="BF76" s="17" t="s">
        <v>442</v>
      </c>
      <c r="BG76" s="38">
        <v>0.5</v>
      </c>
      <c r="BH76" s="38">
        <v>0.5</v>
      </c>
      <c r="BI76" s="64" t="s">
        <v>254</v>
      </c>
      <c r="BJ76" s="64" t="s">
        <v>254</v>
      </c>
      <c r="BK76" s="17" t="s">
        <v>430</v>
      </c>
      <c r="BL76" s="17" t="s">
        <v>435</v>
      </c>
    </row>
    <row r="77" spans="1:64" ht="62.65" customHeight="1">
      <c r="A77" s="32">
        <f>INDEX('Implementation Plan V2 Sep25'!A:A,MATCH(E77,'Implementation Plan V2 Sep25'!F:F,0))</f>
        <v>5</v>
      </c>
      <c r="B77" s="33" t="str">
        <f>INDEX('Implementation Plan V2 Sep25'!C:C,MATCH(E77,'Implementation Plan V2 Sep25'!F:F,0))</f>
        <v>Output 5.1 Pacific capacity and collaborative approaches to deliver locally-relevant, impact-based, inclusive and accessible forecasts and warnings for end users strengthened and sustained</v>
      </c>
      <c r="C77" s="33" t="str">
        <f>INDEX('Implementation Plan V2 Sep25'!E:E,MATCH(E77,'Implementation Plan V2 Sep25'!F:F,0))</f>
        <v>5.1.1</v>
      </c>
      <c r="D77" s="33">
        <f>INDEX('Implementation Plan V2 Sep25'!D:D,MATCH(E77,'Implementation Plan V2 Sep25'!F:F,0))</f>
        <v>51</v>
      </c>
      <c r="E77" s="2" t="s">
        <v>124</v>
      </c>
      <c r="F77" s="2" t="s">
        <v>445</v>
      </c>
      <c r="G77" s="2">
        <f>Projects[[#This Row],[Activity Ref]]</f>
        <v>51</v>
      </c>
      <c r="H77" s="45" t="s">
        <v>245</v>
      </c>
      <c r="J77" s="2" t="str">
        <f>IF(OR(ISBLANK(Projects[[#This Row],[Task]]),Projects[[#This Row],[Task]]=0),"",CONCATENATE(Projects[[#This Row],[Phase]],Projects[[#This Row],[Task]]))</f>
        <v>5101</v>
      </c>
      <c r="K77" s="2" t="s">
        <v>214</v>
      </c>
      <c r="L77" s="2" t="s">
        <v>229</v>
      </c>
      <c r="O77" s="2" t="s">
        <v>251</v>
      </c>
      <c r="S77" s="13"/>
      <c r="T77" s="2" t="s">
        <v>216</v>
      </c>
      <c r="U77" s="2" t="s">
        <v>232</v>
      </c>
      <c r="V77" s="40">
        <f t="shared" si="3"/>
        <v>20000.000695652201</v>
      </c>
      <c r="W77" s="15"/>
      <c r="X77" s="17"/>
      <c r="Y77" s="17"/>
      <c r="Z77" s="2" t="s">
        <v>233</v>
      </c>
      <c r="AA77" s="40">
        <f t="shared" si="4"/>
        <v>20000.000695652201</v>
      </c>
      <c r="AB77" s="40" t="str">
        <f>IFERROR(INDEX(#REF!,MATCH(#REF!,#REF!,0)),"")</f>
        <v/>
      </c>
      <c r="AC77" s="40" t="str">
        <f>IFERROR(INDEX(#REF!,MATCH(#REF!,#REF!,0)),"")</f>
        <v/>
      </c>
      <c r="AD77" s="13"/>
      <c r="AE77" s="13"/>
      <c r="AF77" s="13"/>
      <c r="AG77" s="13">
        <f>20462.6086956522-462.608</f>
        <v>20000.000695652201</v>
      </c>
      <c r="AQ77" s="33">
        <f>SUM(Projects[[#This Row],[2024 Actual]],Projects[[#This Row],[2025 Actual ]])</f>
        <v>0</v>
      </c>
      <c r="AS77" s="173">
        <f>IF(Projects[[#This Row],[WRP Funding Allocated USD]]=0,"-",Projects[[#This Row],[Actual Spend USD]]/Projects[[#This Row],[WRP Funding Allocated USD]])</f>
        <v>0</v>
      </c>
      <c r="AY77" s="150" t="e">
        <f>Projects[[#This Row],[No. Action Completed]]/Projects[[#This Row],[No. Actions Identified]]</f>
        <v>#DIV/0!</v>
      </c>
      <c r="BC77" s="15"/>
      <c r="BD77" s="15"/>
      <c r="BE77" s="17" t="s">
        <v>249</v>
      </c>
      <c r="BF77" s="17" t="s">
        <v>249</v>
      </c>
      <c r="BG77" s="38">
        <v>0</v>
      </c>
      <c r="BH77" s="38">
        <v>0</v>
      </c>
      <c r="BI77" s="64" t="s">
        <v>119</v>
      </c>
      <c r="BJ77" s="64" t="s">
        <v>119</v>
      </c>
      <c r="BK77" s="17" t="s">
        <v>242</v>
      </c>
      <c r="BL77" s="17" t="s">
        <v>119</v>
      </c>
    </row>
    <row r="78" spans="1:64" ht="50.1" customHeight="1">
      <c r="A78" s="32">
        <f>INDEX('Implementation Plan V2 Sep25'!A:A,MATCH(E78,'Implementation Plan V2 Sep25'!F:F,0))</f>
        <v>1</v>
      </c>
      <c r="B78" s="33" t="str">
        <f>INDEX('Implementation Plan V2 Sep25'!C:C,MATCH(E78,'Implementation Plan V2 Sep25'!F:F,0))</f>
        <v>Output 1.1 WRP governance, management and financing mechanisms established, mandated and equipped to coordinate a Pacific-led, integrated, and sustainable programme</v>
      </c>
      <c r="C78" s="33" t="str">
        <f>INDEX('Implementation Plan V2 Sep25'!E:E,MATCH(E78,'Implementation Plan V2 Sep25'!F:F,0))</f>
        <v>1.1.4</v>
      </c>
      <c r="D78" s="33">
        <f>INDEX('Implementation Plan V2 Sep25'!D:D,MATCH(E78,'Implementation Plan V2 Sep25'!F:F,0))</f>
        <v>14</v>
      </c>
      <c r="E78" s="2" t="s">
        <v>26</v>
      </c>
      <c r="F78" s="2" t="s">
        <v>446</v>
      </c>
      <c r="G78" s="2">
        <f>Projects[[#This Row],[Activity Ref]]</f>
        <v>14</v>
      </c>
      <c r="H78" s="11">
        <v>0</v>
      </c>
      <c r="J78" s="2" t="str">
        <f>IF(OR(ISBLANK(Projects[[#This Row],[Task]]),Projects[[#This Row],[Task]]=0),"",CONCATENATE(Projects[[#This Row],[Phase]],Projects[[#This Row],[Task]]))</f>
        <v/>
      </c>
      <c r="K78" s="2" t="s">
        <v>386</v>
      </c>
      <c r="L78" s="2" t="s">
        <v>229</v>
      </c>
      <c r="Q78" s="2">
        <v>2025</v>
      </c>
      <c r="R78" s="2" t="s">
        <v>447</v>
      </c>
      <c r="S78" s="13">
        <f>Projects[[#This Row],[2026 Budget]]*5/12</f>
        <v>37493.611111111117</v>
      </c>
      <c r="T78" s="2" t="s">
        <v>216</v>
      </c>
      <c r="U78" s="2" t="s">
        <v>232</v>
      </c>
      <c r="V78" s="40">
        <f t="shared" si="3"/>
        <v>494915.66666666669</v>
      </c>
      <c r="W78" s="2"/>
      <c r="X78" s="17"/>
      <c r="Y78" s="17"/>
      <c r="Z78" s="2" t="s">
        <v>248</v>
      </c>
      <c r="AA78" s="40">
        <f t="shared" si="4"/>
        <v>494915.66666666669</v>
      </c>
      <c r="AB78" s="40" t="str">
        <f>IFERROR(INDEX(#REF!,MATCH(#REF!,#REF!,0)),"")</f>
        <v/>
      </c>
      <c r="AC78" s="40" t="str">
        <f>IFERROR(INDEX(#REF!,MATCH(#REF!,#REF!,0)),"")</f>
        <v/>
      </c>
      <c r="AD78" s="13"/>
      <c r="AE78" s="20"/>
      <c r="AF78" s="196">
        <v>89984.666666666672</v>
      </c>
      <c r="AG78" s="196">
        <v>134977</v>
      </c>
      <c r="AH78" s="196">
        <v>134977</v>
      </c>
      <c r="AI78" s="196">
        <v>134977</v>
      </c>
      <c r="AQ78" s="33">
        <f>SUM(Projects[[#This Row],[2024 Actual]],Projects[[#This Row],[2025 Actual ]])</f>
        <v>0</v>
      </c>
      <c r="AS78" s="173">
        <f>IF(Projects[[#This Row],[WRP Funding Allocated USD]]=0,"-",Projects[[#This Row],[Actual Spend USD]]/Projects[[#This Row],[WRP Funding Allocated USD]])</f>
        <v>0</v>
      </c>
      <c r="AY78" s="150" t="e">
        <f>Projects[[#This Row],[No. Action Completed]]/Projects[[#This Row],[No. Actions Identified]]</f>
        <v>#DIV/0!</v>
      </c>
      <c r="BC78" s="15"/>
      <c r="BD78" s="15"/>
      <c r="BE78" s="17" t="s">
        <v>297</v>
      </c>
      <c r="BF78" s="17" t="s">
        <v>297</v>
      </c>
      <c r="BG78" s="38">
        <v>0.1</v>
      </c>
      <c r="BH78" s="38">
        <v>0.1</v>
      </c>
      <c r="BI78" s="64" t="s">
        <v>254</v>
      </c>
      <c r="BJ78" s="64" t="s">
        <v>254</v>
      </c>
      <c r="BK78" s="17" t="s">
        <v>430</v>
      </c>
      <c r="BL78" s="17" t="s">
        <v>448</v>
      </c>
    </row>
    <row r="79" spans="1:64" ht="49.5" customHeight="1">
      <c r="A79" s="32">
        <f>INDEX('Implementation Plan V2 Sep25'!A:A,MATCH(E79,'Implementation Plan V2 Sep25'!F:F,0))</f>
        <v>1</v>
      </c>
      <c r="B79" s="33" t="str">
        <f>INDEX('Implementation Plan V2 Sep25'!C:C,MATCH(E79,'Implementation Plan V2 Sep25'!F:F,0))</f>
        <v>Output 1.1 WRP governance, management and financing mechanisms established, mandated and equipped to coordinate a Pacific-led, integrated, and sustainable programme</v>
      </c>
      <c r="C79" s="33" t="str">
        <f>INDEX('Implementation Plan V2 Sep25'!E:E,MATCH(E79,'Implementation Plan V2 Sep25'!F:F,0))</f>
        <v>1.1.4</v>
      </c>
      <c r="D79" s="33">
        <f>INDEX('Implementation Plan V2 Sep25'!D:D,MATCH(E79,'Implementation Plan V2 Sep25'!F:F,0))</f>
        <v>14</v>
      </c>
      <c r="E79" s="2" t="s">
        <v>26</v>
      </c>
      <c r="F79" s="2" t="s">
        <v>449</v>
      </c>
      <c r="G79" s="2">
        <f>Projects[[#This Row],[Activity Ref]]</f>
        <v>14</v>
      </c>
      <c r="H79" s="11">
        <v>0</v>
      </c>
      <c r="J79" s="2" t="str">
        <f>IF(OR(ISBLANK(Projects[[#This Row],[Task]]),Projects[[#This Row],[Task]]=0),"",CONCATENATE(Projects[[#This Row],[Phase]],Projects[[#This Row],[Task]]))</f>
        <v/>
      </c>
      <c r="K79" s="2" t="s">
        <v>386</v>
      </c>
      <c r="L79" s="2" t="s">
        <v>229</v>
      </c>
      <c r="R79" s="2" t="s">
        <v>450</v>
      </c>
      <c r="S79" s="13"/>
      <c r="T79" s="2" t="s">
        <v>216</v>
      </c>
      <c r="U79" s="2" t="s">
        <v>232</v>
      </c>
      <c r="V79" s="40">
        <f t="shared" si="3"/>
        <v>0</v>
      </c>
      <c r="W79" s="2"/>
      <c r="X79" s="17"/>
      <c r="Y79" s="17"/>
      <c r="Z79" s="2" t="s">
        <v>248</v>
      </c>
      <c r="AA79" s="40">
        <f t="shared" si="4"/>
        <v>0</v>
      </c>
      <c r="AB79" s="40" t="str">
        <f>IFERROR(INDEX(#REF!,MATCH(#REF!,#REF!,0)),"")</f>
        <v/>
      </c>
      <c r="AC79" s="40" t="str">
        <f>IFERROR(INDEX(#REF!,MATCH(#REF!,#REF!,0)),"")</f>
        <v/>
      </c>
      <c r="AD79" s="13"/>
      <c r="AE79" s="20"/>
      <c r="AF79" s="196"/>
      <c r="AG79" s="196"/>
      <c r="AH79" s="196"/>
      <c r="AI79" s="196"/>
      <c r="AQ79" s="33">
        <f>SUM(Projects[[#This Row],[2024 Actual]],Projects[[#This Row],[2025 Actual ]])</f>
        <v>0</v>
      </c>
      <c r="AS79" s="173" t="str">
        <f>IF(Projects[[#This Row],[WRP Funding Allocated USD]]=0,"-",Projects[[#This Row],[Actual Spend USD]]/Projects[[#This Row],[WRP Funding Allocated USD]])</f>
        <v>-</v>
      </c>
      <c r="AY79" s="150" t="e">
        <f>Projects[[#This Row],[No. Action Completed]]/Projects[[#This Row],[No. Actions Identified]]</f>
        <v>#DIV/0!</v>
      </c>
      <c r="BC79" s="15"/>
      <c r="BD79" s="15"/>
      <c r="BE79" s="17" t="s">
        <v>276</v>
      </c>
      <c r="BF79" s="17" t="s">
        <v>276</v>
      </c>
      <c r="BG79" s="38">
        <v>0</v>
      </c>
      <c r="BH79" s="38">
        <v>0</v>
      </c>
      <c r="BI79" s="64" t="s">
        <v>119</v>
      </c>
      <c r="BJ79" s="64" t="s">
        <v>119</v>
      </c>
      <c r="BK79" s="243" t="s">
        <v>242</v>
      </c>
      <c r="BL79" s="17" t="s">
        <v>451</v>
      </c>
    </row>
    <row r="80" spans="1:64" ht="40.5" customHeight="1">
      <c r="A80" s="32">
        <f>INDEX('Implementation Plan V2 Sep25'!A:A,MATCH(E80,'Implementation Plan V2 Sep25'!F:F,0))</f>
        <v>1</v>
      </c>
      <c r="B80" s="33" t="str">
        <f>INDEX('Implementation Plan V2 Sep25'!C:C,MATCH(E80,'Implementation Plan V2 Sep25'!F:F,0))</f>
        <v>Output 1.1 WRP governance, management and financing mechanisms established, mandated and equipped to coordinate a Pacific-led, integrated, and sustainable programme</v>
      </c>
      <c r="C80" s="33" t="str">
        <f>INDEX('Implementation Plan V2 Sep25'!E:E,MATCH(E80,'Implementation Plan V2 Sep25'!F:F,0))</f>
        <v>1.1.4</v>
      </c>
      <c r="D80" s="33">
        <f>INDEX('Implementation Plan V2 Sep25'!D:D,MATCH(E80,'Implementation Plan V2 Sep25'!F:F,0))</f>
        <v>14</v>
      </c>
      <c r="E80" s="2" t="s">
        <v>26</v>
      </c>
      <c r="F80" s="2" t="s">
        <v>452</v>
      </c>
      <c r="G80" s="2">
        <f>Projects[[#This Row],[Activity Ref]]</f>
        <v>14</v>
      </c>
      <c r="H80" s="11">
        <v>0</v>
      </c>
      <c r="J80" s="2" t="str">
        <f>IF(OR(ISBLANK(Projects[[#This Row],[Task]]),Projects[[#This Row],[Task]]=0),"",CONCATENATE(Projects[[#This Row],[Phase]],Projects[[#This Row],[Task]]))</f>
        <v/>
      </c>
      <c r="K80" s="2" t="s">
        <v>386</v>
      </c>
      <c r="L80" s="2" t="s">
        <v>229</v>
      </c>
      <c r="Q80" s="2">
        <v>2026</v>
      </c>
      <c r="S80" s="13">
        <f>Projects[[#This Row],[2026 Budget]]*5/12</f>
        <v>21977.777777777781</v>
      </c>
      <c r="T80" s="2" t="s">
        <v>216</v>
      </c>
      <c r="U80" s="2" t="s">
        <v>232</v>
      </c>
      <c r="V80" s="40">
        <f t="shared" si="3"/>
        <v>432522.66666666669</v>
      </c>
      <c r="W80" s="2"/>
      <c r="X80" s="17"/>
      <c r="Y80" s="17"/>
      <c r="Z80" s="2" t="s">
        <v>248</v>
      </c>
      <c r="AA80" s="40">
        <f t="shared" si="4"/>
        <v>432522.66666666669</v>
      </c>
      <c r="AB80" s="40" t="str">
        <f>IFERROR(INDEX(#REF!,MATCH(#REF!,#REF!,0)),"")</f>
        <v/>
      </c>
      <c r="AC80" s="40" t="str">
        <f>IFERROR(INDEX(#REF!,MATCH(#REF!,#REF!,0)),"")</f>
        <v/>
      </c>
      <c r="AD80" s="13"/>
      <c r="AE80" s="20"/>
      <c r="AF80" s="196">
        <v>52746.666666666672</v>
      </c>
      <c r="AG80" s="196">
        <v>126592</v>
      </c>
      <c r="AH80" s="196">
        <v>126592</v>
      </c>
      <c r="AI80" s="196">
        <v>126592</v>
      </c>
      <c r="AQ80" s="33">
        <f>SUM(Projects[[#This Row],[2024 Actual]],Projects[[#This Row],[2025 Actual ]])</f>
        <v>0</v>
      </c>
      <c r="AS80" s="173">
        <f>IF(Projects[[#This Row],[WRP Funding Allocated USD]]=0,"-",Projects[[#This Row],[Actual Spend USD]]/Projects[[#This Row],[WRP Funding Allocated USD]])</f>
        <v>0</v>
      </c>
      <c r="AY80" s="150" t="e">
        <f>Projects[[#This Row],[No. Action Completed]]/Projects[[#This Row],[No. Actions Identified]]</f>
        <v>#DIV/0!</v>
      </c>
      <c r="BC80" s="15"/>
      <c r="BD80" s="15"/>
      <c r="BE80" s="17" t="s">
        <v>249</v>
      </c>
      <c r="BF80" s="17" t="s">
        <v>249</v>
      </c>
      <c r="BG80" s="38">
        <v>0</v>
      </c>
      <c r="BH80" s="38">
        <v>0</v>
      </c>
      <c r="BI80" s="64" t="s">
        <v>254</v>
      </c>
      <c r="BJ80" s="64" t="s">
        <v>254</v>
      </c>
      <c r="BK80" s="17" t="s">
        <v>242</v>
      </c>
      <c r="BL80" s="17" t="s">
        <v>453</v>
      </c>
    </row>
    <row r="81" spans="1:64" ht="40.5" customHeight="1">
      <c r="A81" s="32">
        <f>INDEX('Implementation Plan V2 Sep25'!A:A,MATCH(E81,'Implementation Plan V2 Sep25'!F:F,0))</f>
        <v>1</v>
      </c>
      <c r="B81" s="33" t="str">
        <f>INDEX('Implementation Plan V2 Sep25'!C:C,MATCH(E81,'Implementation Plan V2 Sep25'!F:F,0))</f>
        <v>Output 1.1 WRP governance, management and financing mechanisms established, mandated and equipped to coordinate a Pacific-led, integrated, and sustainable programme</v>
      </c>
      <c r="C81" s="33" t="str">
        <f>INDEX('Implementation Plan V2 Sep25'!E:E,MATCH(E81,'Implementation Plan V2 Sep25'!F:F,0))</f>
        <v>1.1.4</v>
      </c>
      <c r="D81" s="33">
        <f>INDEX('Implementation Plan V2 Sep25'!D:D,MATCH(E81,'Implementation Plan V2 Sep25'!F:F,0))</f>
        <v>14</v>
      </c>
      <c r="E81" s="2" t="s">
        <v>26</v>
      </c>
      <c r="F81" s="2" t="s">
        <v>454</v>
      </c>
      <c r="G81" s="2">
        <f>Projects[[#This Row],[Activity Ref]]</f>
        <v>14</v>
      </c>
      <c r="H81" s="11">
        <v>0</v>
      </c>
      <c r="J81" s="2" t="str">
        <f>IF(OR(ISBLANK(Projects[[#This Row],[Task]]),Projects[[#This Row],[Task]]=0),"",CONCATENATE(Projects[[#This Row],[Phase]],Projects[[#This Row],[Task]]))</f>
        <v/>
      </c>
      <c r="K81" s="2" t="s">
        <v>386</v>
      </c>
      <c r="L81" s="2" t="s">
        <v>229</v>
      </c>
      <c r="S81" s="13"/>
      <c r="T81" s="2" t="s">
        <v>216</v>
      </c>
      <c r="U81" s="2" t="s">
        <v>232</v>
      </c>
      <c r="V81" s="40">
        <f t="shared" si="3"/>
        <v>0</v>
      </c>
      <c r="W81" s="2"/>
      <c r="X81" s="17"/>
      <c r="Y81" s="17"/>
      <c r="Z81" s="2" t="s">
        <v>248</v>
      </c>
      <c r="AA81" s="40">
        <f t="shared" si="4"/>
        <v>0</v>
      </c>
      <c r="AB81" s="40" t="str">
        <f>IFERROR(INDEX(#REF!,MATCH(#REF!,#REF!,0)),"")</f>
        <v/>
      </c>
      <c r="AC81" s="40" t="str">
        <f>IFERROR(INDEX(#REF!,MATCH(#REF!,#REF!,0)),"")</f>
        <v/>
      </c>
      <c r="AD81" s="13"/>
      <c r="AE81" s="20"/>
      <c r="AF81" s="196"/>
      <c r="AG81" s="196"/>
      <c r="AH81" s="196"/>
      <c r="AI81" s="196"/>
      <c r="AQ81" s="33">
        <f>SUM(Projects[[#This Row],[2024 Actual]],Projects[[#This Row],[2025 Actual ]])</f>
        <v>0</v>
      </c>
      <c r="AS81" s="173" t="str">
        <f>IF(Projects[[#This Row],[WRP Funding Allocated USD]]=0,"-",Projects[[#This Row],[Actual Spend USD]]/Projects[[#This Row],[WRP Funding Allocated USD]])</f>
        <v>-</v>
      </c>
      <c r="AY81" s="150" t="e">
        <f>Projects[[#This Row],[No. Action Completed]]/Projects[[#This Row],[No. Actions Identified]]</f>
        <v>#DIV/0!</v>
      </c>
      <c r="BC81" s="15"/>
      <c r="BD81" s="15"/>
      <c r="BE81" s="17" t="s">
        <v>249</v>
      </c>
      <c r="BF81" s="17" t="s">
        <v>249</v>
      </c>
      <c r="BG81" s="38">
        <v>0</v>
      </c>
      <c r="BH81" s="38">
        <v>0</v>
      </c>
      <c r="BI81" s="64" t="s">
        <v>119</v>
      </c>
      <c r="BJ81" s="64" t="s">
        <v>119</v>
      </c>
      <c r="BK81" s="17" t="s">
        <v>242</v>
      </c>
      <c r="BL81" s="17" t="s">
        <v>119</v>
      </c>
    </row>
    <row r="82" spans="1:64" ht="40.5" customHeight="1">
      <c r="A82" s="32">
        <f>INDEX('Implementation Plan V2 Sep25'!A:A,MATCH(E82,'Implementation Plan V2 Sep25'!F:F,0))</f>
        <v>1</v>
      </c>
      <c r="B82" s="33" t="str">
        <f>INDEX('Implementation Plan V2 Sep25'!C:C,MATCH(E82,'Implementation Plan V2 Sep25'!F:F,0))</f>
        <v>Output 1.1 WRP governance, management and financing mechanisms established, mandated and equipped to coordinate a Pacific-led, integrated, and sustainable programme</v>
      </c>
      <c r="C82" s="33" t="str">
        <f>INDEX('Implementation Plan V2 Sep25'!E:E,MATCH(E82,'Implementation Plan V2 Sep25'!F:F,0))</f>
        <v>1.1.4</v>
      </c>
      <c r="D82" s="33">
        <f>INDEX('Implementation Plan V2 Sep25'!D:D,MATCH(E82,'Implementation Plan V2 Sep25'!F:F,0))</f>
        <v>14</v>
      </c>
      <c r="E82" s="2" t="s">
        <v>26</v>
      </c>
      <c r="F82" s="2" t="s">
        <v>455</v>
      </c>
      <c r="G82" s="2">
        <f>Projects[[#This Row],[Activity Ref]]</f>
        <v>14</v>
      </c>
      <c r="H82" s="11">
        <v>0</v>
      </c>
      <c r="J82" s="2" t="str">
        <f>IF(OR(ISBLANK(Projects[[#This Row],[Task]]),Projects[[#This Row],[Task]]=0),"",CONCATENATE(Projects[[#This Row],[Phase]],Projects[[#This Row],[Task]]))</f>
        <v/>
      </c>
      <c r="K82" s="2" t="s">
        <v>386</v>
      </c>
      <c r="L82" s="2" t="s">
        <v>229</v>
      </c>
      <c r="S82" s="13"/>
      <c r="T82" s="2" t="s">
        <v>216</v>
      </c>
      <c r="U82" s="2" t="s">
        <v>232</v>
      </c>
      <c r="V82" s="40">
        <f t="shared" si="3"/>
        <v>0</v>
      </c>
      <c r="W82" s="2"/>
      <c r="X82" s="17"/>
      <c r="Y82" s="17"/>
      <c r="Z82" s="2" t="s">
        <v>248</v>
      </c>
      <c r="AA82" s="40">
        <f t="shared" si="4"/>
        <v>0</v>
      </c>
      <c r="AB82" s="40" t="str">
        <f>IFERROR(INDEX(#REF!,MATCH(#REF!,#REF!,0)),"")</f>
        <v/>
      </c>
      <c r="AC82" s="40" t="str">
        <f>IFERROR(INDEX(#REF!,MATCH(#REF!,#REF!,0)),"")</f>
        <v/>
      </c>
      <c r="AD82" s="13"/>
      <c r="AE82" s="20"/>
      <c r="AF82" s="196"/>
      <c r="AG82" s="196"/>
      <c r="AH82" s="196"/>
      <c r="AI82" s="196"/>
      <c r="AQ82" s="33">
        <f>SUM(Projects[[#This Row],[2024 Actual]],Projects[[#This Row],[2025 Actual ]])</f>
        <v>0</v>
      </c>
      <c r="AS82" s="173" t="str">
        <f>IF(Projects[[#This Row],[WRP Funding Allocated USD]]=0,"-",Projects[[#This Row],[Actual Spend USD]]/Projects[[#This Row],[WRP Funding Allocated USD]])</f>
        <v>-</v>
      </c>
      <c r="AY82" s="150" t="e">
        <f>Projects[[#This Row],[No. Action Completed]]/Projects[[#This Row],[No. Actions Identified]]</f>
        <v>#DIV/0!</v>
      </c>
      <c r="BC82" s="15"/>
      <c r="BD82" s="15"/>
      <c r="BE82" s="17" t="s">
        <v>249</v>
      </c>
      <c r="BF82" s="17" t="s">
        <v>249</v>
      </c>
      <c r="BG82" s="38">
        <v>0</v>
      </c>
      <c r="BH82" s="38">
        <v>0</v>
      </c>
      <c r="BI82" s="64" t="s">
        <v>119</v>
      </c>
      <c r="BJ82" s="64" t="s">
        <v>119</v>
      </c>
      <c r="BK82" s="17" t="s">
        <v>242</v>
      </c>
      <c r="BL82" s="17" t="s">
        <v>119</v>
      </c>
    </row>
    <row r="83" spans="1:64" ht="40.5" customHeight="1">
      <c r="A83" s="32">
        <f>INDEX('Implementation Plan V2 Sep25'!A:A,MATCH(E83,'Implementation Plan V2 Sep25'!F:F,0))</f>
        <v>1</v>
      </c>
      <c r="B83" s="33" t="str">
        <f>INDEX('Implementation Plan V2 Sep25'!C:C,MATCH(E83,'Implementation Plan V2 Sep25'!F:F,0))</f>
        <v>Output 1.1 WRP governance, management and financing mechanisms established, mandated and equipped to coordinate a Pacific-led, integrated, and sustainable programme</v>
      </c>
      <c r="C83" s="33" t="str">
        <f>INDEX('Implementation Plan V2 Sep25'!E:E,MATCH(E83,'Implementation Plan V2 Sep25'!F:F,0))</f>
        <v>1.1.1</v>
      </c>
      <c r="D83" s="33">
        <f>INDEX('Implementation Plan V2 Sep25'!D:D,MATCH(E83,'Implementation Plan V2 Sep25'!F:F,0))</f>
        <v>11</v>
      </c>
      <c r="E83" s="2" t="s">
        <v>16</v>
      </c>
      <c r="F83" s="2" t="s">
        <v>456</v>
      </c>
      <c r="G83" s="2">
        <f>Projects[[#This Row],[Activity Ref]]</f>
        <v>11</v>
      </c>
      <c r="H83" s="45" t="s">
        <v>291</v>
      </c>
      <c r="J83" s="2" t="str">
        <f>IF(OR(ISBLANK(Projects[[#This Row],[Task]]),Projects[[#This Row],[Task]]=0),"",CONCATENATE(Projects[[#This Row],[Phase]],Projects[[#This Row],[Task]]))</f>
        <v>1106</v>
      </c>
      <c r="K83" s="2" t="s">
        <v>224</v>
      </c>
      <c r="L83" s="2" t="s">
        <v>229</v>
      </c>
      <c r="O83" s="2" t="s">
        <v>457</v>
      </c>
      <c r="S83" s="13">
        <f>SUM(Projects[[#This Row],[2026 Budget]])</f>
        <v>0</v>
      </c>
      <c r="T83" s="2" t="s">
        <v>216</v>
      </c>
      <c r="U83" s="2" t="s">
        <v>232</v>
      </c>
      <c r="V83" s="40">
        <f t="shared" si="3"/>
        <v>0</v>
      </c>
      <c r="W83" s="2"/>
      <c r="X83" s="17"/>
      <c r="Y83" s="17"/>
      <c r="Z83" s="2" t="s">
        <v>248</v>
      </c>
      <c r="AA83" s="40">
        <f t="shared" si="4"/>
        <v>0</v>
      </c>
      <c r="AB83" s="40" t="str">
        <f>IFERROR(INDEX(#REF!,MATCH(#REF!,#REF!,0)),"")</f>
        <v/>
      </c>
      <c r="AC83" s="40" t="str">
        <f>IFERROR(INDEX(#REF!,MATCH(#REF!,#REF!,0)),"")</f>
        <v/>
      </c>
      <c r="AD83" s="13"/>
      <c r="AE83" s="20"/>
      <c r="AF83" s="195">
        <v>0</v>
      </c>
      <c r="AG83" s="196"/>
      <c r="AH83" s="196"/>
      <c r="AI83" s="196"/>
      <c r="AQ83" s="33">
        <f>SUM(Projects[[#This Row],[2024 Actual]],Projects[[#This Row],[2025 Actual ]])</f>
        <v>0</v>
      </c>
      <c r="AS83" s="173" t="str">
        <f>IF(Projects[[#This Row],[WRP Funding Allocated USD]]=0,"-",Projects[[#This Row],[Actual Spend USD]]/Projects[[#This Row],[WRP Funding Allocated USD]])</f>
        <v>-</v>
      </c>
      <c r="AY83" s="150" t="e">
        <f>Projects[[#This Row],[No. Action Completed]]/Projects[[#This Row],[No. Actions Identified]]</f>
        <v>#DIV/0!</v>
      </c>
      <c r="BC83" s="15"/>
      <c r="BD83" s="15"/>
      <c r="BE83" s="17" t="s">
        <v>249</v>
      </c>
      <c r="BF83" s="17" t="s">
        <v>249</v>
      </c>
      <c r="BG83" s="38">
        <v>0</v>
      </c>
      <c r="BH83" s="38">
        <v>0</v>
      </c>
      <c r="BI83" s="64" t="s">
        <v>119</v>
      </c>
      <c r="BJ83" s="64" t="s">
        <v>119</v>
      </c>
      <c r="BK83" s="17" t="s">
        <v>242</v>
      </c>
      <c r="BL83" s="17" t="s">
        <v>458</v>
      </c>
    </row>
    <row r="84" spans="1:64" ht="81.599999999999994" customHeight="1">
      <c r="A84" s="32">
        <f>INDEX('Implementation Plan V2 Sep25'!A:A,MATCH(E84,'Implementation Plan V2 Sep25'!F:F,0))</f>
        <v>1</v>
      </c>
      <c r="B84" s="33" t="str">
        <f>INDEX('Implementation Plan V2 Sep25'!C:C,MATCH(E84,'Implementation Plan V2 Sep25'!F:F,0))</f>
        <v>Output 1.1 WRP governance, management and financing mechanisms established, mandated and equipped to coordinate a Pacific-led, integrated, and sustainable programme</v>
      </c>
      <c r="C84" s="33" t="str">
        <f>INDEX('Implementation Plan V2 Sep25'!E:E,MATCH(E84,'Implementation Plan V2 Sep25'!F:F,0))</f>
        <v>1.1.1</v>
      </c>
      <c r="D84" s="33">
        <f>INDEX('Implementation Plan V2 Sep25'!D:D,MATCH(E84,'Implementation Plan V2 Sep25'!F:F,0))</f>
        <v>11</v>
      </c>
      <c r="E84" s="2" t="s">
        <v>16</v>
      </c>
      <c r="F84" s="2" t="s">
        <v>459</v>
      </c>
      <c r="G84" s="2">
        <f>Projects[[#This Row],[Activity Ref]]</f>
        <v>11</v>
      </c>
      <c r="H84" s="45" t="s">
        <v>238</v>
      </c>
      <c r="J84" s="2" t="str">
        <f>IF(OR(ISBLANK(Projects[[#This Row],[Task]]),Projects[[#This Row],[Task]]=0),"",CONCATENATE(Projects[[#This Row],[Phase]],Projects[[#This Row],[Task]]))</f>
        <v>1107</v>
      </c>
      <c r="K84" s="2" t="s">
        <v>224</v>
      </c>
      <c r="L84" s="2" t="s">
        <v>229</v>
      </c>
      <c r="O84" s="2" t="s">
        <v>230</v>
      </c>
      <c r="Q84" s="2">
        <v>2025</v>
      </c>
      <c r="R84" s="2" t="s">
        <v>460</v>
      </c>
      <c r="S84" s="13"/>
      <c r="T84" s="2" t="s">
        <v>216</v>
      </c>
      <c r="U84" s="2" t="s">
        <v>232</v>
      </c>
      <c r="V84" s="40">
        <f t="shared" ref="V84:V109" si="5">SUM(X84,AA84)</f>
        <v>50000</v>
      </c>
      <c r="W84" s="2"/>
      <c r="X84" s="17"/>
      <c r="Y84" s="17"/>
      <c r="Z84" s="2" t="s">
        <v>248</v>
      </c>
      <c r="AA84" s="40">
        <f t="shared" si="4"/>
        <v>50000</v>
      </c>
      <c r="AB84" s="40" t="str">
        <f>IFERROR(INDEX(#REF!,MATCH(#REF!,#REF!,0)),"")</f>
        <v/>
      </c>
      <c r="AC84" s="40" t="str">
        <f>IFERROR(INDEX(#REF!,MATCH(#REF!,#REF!,0)),"")</f>
        <v/>
      </c>
      <c r="AD84" s="13"/>
      <c r="AE84" s="20"/>
      <c r="AF84" s="195">
        <v>50000</v>
      </c>
      <c r="AG84" s="196"/>
      <c r="AH84" s="196"/>
      <c r="AI84" s="196"/>
      <c r="AQ84" s="33">
        <f>SUM(Projects[[#This Row],[2024 Actual]],Projects[[#This Row],[2025 Actual ]])</f>
        <v>0</v>
      </c>
      <c r="AS84" s="173">
        <f>IF(Projects[[#This Row],[WRP Funding Allocated USD]]=0,"-",Projects[[#This Row],[Actual Spend USD]]/Projects[[#This Row],[WRP Funding Allocated USD]])</f>
        <v>0</v>
      </c>
      <c r="AY84" s="150" t="e">
        <f>Projects[[#This Row],[No. Action Completed]]/Projects[[#This Row],[No. Actions Identified]]</f>
        <v>#DIV/0!</v>
      </c>
      <c r="BC84" s="15"/>
      <c r="BD84" s="15"/>
      <c r="BE84" s="17" t="s">
        <v>297</v>
      </c>
      <c r="BF84" s="17" t="s">
        <v>297</v>
      </c>
      <c r="BG84" s="38">
        <v>0.05</v>
      </c>
      <c r="BH84" s="38">
        <v>0.05</v>
      </c>
      <c r="BI84" s="64" t="s">
        <v>221</v>
      </c>
      <c r="BJ84" s="64" t="s">
        <v>221</v>
      </c>
      <c r="BK84" s="151" t="s">
        <v>242</v>
      </c>
      <c r="BL84" s="151" t="s">
        <v>461</v>
      </c>
    </row>
    <row r="85" spans="1:64" ht="63" customHeight="1">
      <c r="A85" s="32">
        <f>INDEX('Implementation Plan V2 Sep25'!A:A,MATCH(E85,'Implementation Plan V2 Sep25'!F:F,0))</f>
        <v>1</v>
      </c>
      <c r="B85" s="33" t="str">
        <f>INDEX('Implementation Plan V2 Sep25'!C:C,MATCH(E85,'Implementation Plan V2 Sep25'!F:F,0))</f>
        <v>Output 1.1 WRP governance, management and financing mechanisms established, mandated and equipped to coordinate a Pacific-led, integrated, and sustainable programme</v>
      </c>
      <c r="C85" s="33" t="str">
        <f>INDEX('Implementation Plan V2 Sep25'!E:E,MATCH(E85,'Implementation Plan V2 Sep25'!F:F,0))</f>
        <v>1.1.1</v>
      </c>
      <c r="D85" s="33">
        <f>INDEX('Implementation Plan V2 Sep25'!D:D,MATCH(E85,'Implementation Plan V2 Sep25'!F:F,0))</f>
        <v>11</v>
      </c>
      <c r="E85" s="2" t="s">
        <v>16</v>
      </c>
      <c r="F85" s="2" t="s">
        <v>462</v>
      </c>
      <c r="G85" s="2">
        <f>Projects[[#This Row],[Activity Ref]]</f>
        <v>11</v>
      </c>
      <c r="H85" s="45" t="s">
        <v>266</v>
      </c>
      <c r="J85" s="2" t="str">
        <f>IF(OR(ISBLANK(Projects[[#This Row],[Task]]),Projects[[#This Row],[Task]]=0),"",CONCATENATE(Projects[[#This Row],[Phase]],Projects[[#This Row],[Task]]))</f>
        <v>1108</v>
      </c>
      <c r="K85" s="2" t="s">
        <v>224</v>
      </c>
      <c r="L85" s="2" t="s">
        <v>229</v>
      </c>
      <c r="O85" s="2" t="s">
        <v>230</v>
      </c>
      <c r="Q85" s="2">
        <v>2025</v>
      </c>
      <c r="R85" s="2" t="s">
        <v>463</v>
      </c>
      <c r="S85" s="13">
        <f>SUM(Projects[[#This Row],[2025]])</f>
        <v>0</v>
      </c>
      <c r="T85" s="2" t="s">
        <v>216</v>
      </c>
      <c r="U85" s="2" t="s">
        <v>232</v>
      </c>
      <c r="V85" s="40">
        <f t="shared" si="5"/>
        <v>25000</v>
      </c>
      <c r="W85" s="2"/>
      <c r="X85" s="17"/>
      <c r="Y85" s="17"/>
      <c r="Z85" s="2" t="s">
        <v>248</v>
      </c>
      <c r="AA85" s="40">
        <f t="shared" si="4"/>
        <v>25000</v>
      </c>
      <c r="AB85" s="40" t="str">
        <f>IFERROR(INDEX(#REF!,MATCH(#REF!,#REF!,0)),"")</f>
        <v/>
      </c>
      <c r="AC85" s="40" t="str">
        <f>IFERROR(INDEX(#REF!,MATCH(#REF!,#REF!,0)),"")</f>
        <v/>
      </c>
      <c r="AD85" s="13"/>
      <c r="AE85" s="20"/>
      <c r="AF85" s="195">
        <v>25000</v>
      </c>
      <c r="AG85" s="196"/>
      <c r="AH85" s="196"/>
      <c r="AI85" s="196"/>
      <c r="AQ85" s="33">
        <f>SUM(Projects[[#This Row],[2024 Actual]],Projects[[#This Row],[2025 Actual ]])</f>
        <v>0</v>
      </c>
      <c r="AS85" s="173">
        <f>IF(Projects[[#This Row],[WRP Funding Allocated USD]]=0,"-",Projects[[#This Row],[Actual Spend USD]]/Projects[[#This Row],[WRP Funding Allocated USD]])</f>
        <v>0</v>
      </c>
      <c r="AY85" s="150" t="e">
        <f>Projects[[#This Row],[No. Action Completed]]/Projects[[#This Row],[No. Actions Identified]]</f>
        <v>#DIV/0!</v>
      </c>
      <c r="BC85" s="15"/>
      <c r="BD85" s="15"/>
      <c r="BE85" s="17" t="s">
        <v>297</v>
      </c>
      <c r="BF85" s="17" t="s">
        <v>297</v>
      </c>
      <c r="BG85" s="38">
        <v>0.05</v>
      </c>
      <c r="BH85" s="38">
        <v>0.05</v>
      </c>
      <c r="BI85" s="64" t="s">
        <v>221</v>
      </c>
      <c r="BJ85" s="64" t="s">
        <v>221</v>
      </c>
      <c r="BK85" s="153" t="s">
        <v>242</v>
      </c>
      <c r="BL85" s="153" t="s">
        <v>464</v>
      </c>
    </row>
    <row r="86" spans="1:64" ht="49.5" customHeight="1">
      <c r="A86" s="32">
        <f>INDEX('Implementation Plan V2 Sep25'!A:A,MATCH(E86,'Implementation Plan V2 Sep25'!F:F,0))</f>
        <v>1</v>
      </c>
      <c r="B86" s="33" t="str">
        <f>INDEX('Implementation Plan V2 Sep25'!C:C,MATCH(E86,'Implementation Plan V2 Sep25'!F:F,0))</f>
        <v>Output 1.1 WRP governance, management and financing mechanisms established, mandated and equipped to coordinate a Pacific-led, integrated, and sustainable programme</v>
      </c>
      <c r="C86" s="33" t="str">
        <f>INDEX('Implementation Plan V2 Sep25'!E:E,MATCH(E86,'Implementation Plan V2 Sep25'!F:F,0))</f>
        <v>1.1.1</v>
      </c>
      <c r="D86" s="33">
        <f>INDEX('Implementation Plan V2 Sep25'!D:D,MATCH(E86,'Implementation Plan V2 Sep25'!F:F,0))</f>
        <v>11</v>
      </c>
      <c r="E86" s="2" t="s">
        <v>16</v>
      </c>
      <c r="F86" s="7" t="s">
        <v>465</v>
      </c>
      <c r="G86" s="7">
        <f>Projects[[#This Row],[Activity Ref]]</f>
        <v>11</v>
      </c>
      <c r="H86" s="45" t="s">
        <v>279</v>
      </c>
      <c r="J86" s="2" t="str">
        <f>IF(OR(ISBLANK(Projects[[#This Row],[Task]]),Projects[[#This Row],[Task]]=0),"",CONCATENATE(Projects[[#This Row],[Phase]],Projects[[#This Row],[Task]]))</f>
        <v>1109</v>
      </c>
      <c r="K86" s="2" t="s">
        <v>214</v>
      </c>
      <c r="L86" s="2" t="s">
        <v>229</v>
      </c>
      <c r="O86" s="2" t="s">
        <v>286</v>
      </c>
      <c r="Q86" s="2">
        <v>2025</v>
      </c>
      <c r="R86" s="2" t="s">
        <v>466</v>
      </c>
      <c r="S86" s="13">
        <f>Projects[[#This Row],[2025]]</f>
        <v>38727</v>
      </c>
      <c r="T86" s="2" t="s">
        <v>216</v>
      </c>
      <c r="U86" s="2" t="s">
        <v>232</v>
      </c>
      <c r="V86" s="40">
        <f t="shared" si="5"/>
        <v>100000</v>
      </c>
      <c r="W86" s="2"/>
      <c r="X86" s="17"/>
      <c r="Y86" s="17"/>
      <c r="Z86" s="2" t="s">
        <v>248</v>
      </c>
      <c r="AA86" s="40">
        <f t="shared" si="4"/>
        <v>100000</v>
      </c>
      <c r="AB86" s="40" t="str">
        <f>IFERROR(INDEX(#REF!,MATCH(#REF!,#REF!,0)),"")</f>
        <v/>
      </c>
      <c r="AC86" s="40" t="str">
        <f>IFERROR(INDEX(#REF!,MATCH(#REF!,#REF!,0)),"")</f>
        <v/>
      </c>
      <c r="AD86" s="13"/>
      <c r="AE86" s="19">
        <v>38727</v>
      </c>
      <c r="AF86" s="196">
        <v>61273</v>
      </c>
      <c r="AG86" s="196"/>
      <c r="AH86" s="196"/>
      <c r="AI86" s="196"/>
      <c r="AP86" s="13">
        <f>Projects[[#This Row],[2025]]</f>
        <v>38727</v>
      </c>
      <c r="AQ86" s="33">
        <f>SUM(Projects[[#This Row],[2024 Actual]],Projects[[#This Row],[2025 Actual ]])</f>
        <v>38727</v>
      </c>
      <c r="AS86" s="173">
        <f>IF(Projects[[#This Row],[WRP Funding Allocated USD]]=0,"-",Projects[[#This Row],[Actual Spend USD]]/Projects[[#This Row],[WRP Funding Allocated USD]])</f>
        <v>0.38727</v>
      </c>
      <c r="AY86" s="150" t="e">
        <f>Projects[[#This Row],[No. Action Completed]]/Projects[[#This Row],[No. Actions Identified]]</f>
        <v>#DIV/0!</v>
      </c>
      <c r="BC86" s="15"/>
      <c r="BD86" s="15"/>
      <c r="BE86" s="17" t="s">
        <v>220</v>
      </c>
      <c r="BF86" s="17" t="s">
        <v>220</v>
      </c>
      <c r="BG86" s="38">
        <v>0.7</v>
      </c>
      <c r="BH86" s="38">
        <v>0.7</v>
      </c>
      <c r="BI86" s="64" t="s">
        <v>221</v>
      </c>
      <c r="BJ86" s="64" t="s">
        <v>221</v>
      </c>
      <c r="BK86" s="151" t="s">
        <v>467</v>
      </c>
      <c r="BL86" s="151" t="s">
        <v>468</v>
      </c>
    </row>
    <row r="87" spans="1:64" ht="52.5" customHeight="1">
      <c r="A87" s="32">
        <f>INDEX('Implementation Plan V2 Sep25'!A:A,MATCH(E87,'Implementation Plan V2 Sep25'!F:F,0))</f>
        <v>1</v>
      </c>
      <c r="B87" s="33" t="str">
        <f>INDEX('Implementation Plan V2 Sep25'!C:C,MATCH(E87,'Implementation Plan V2 Sep25'!F:F,0))</f>
        <v>Output 1.1 WRP governance, management and financing mechanisms established, mandated and equipped to coordinate a Pacific-led, integrated, and sustainable programme</v>
      </c>
      <c r="C87" s="33" t="str">
        <f>INDEX('Implementation Plan V2 Sep25'!E:E,MATCH(E87,'Implementation Plan V2 Sep25'!F:F,0))</f>
        <v>1.1.2</v>
      </c>
      <c r="D87" s="33">
        <f>INDEX('Implementation Plan V2 Sep25'!D:D,MATCH(E87,'Implementation Plan V2 Sep25'!F:F,0))</f>
        <v>12</v>
      </c>
      <c r="E87" s="2" t="s">
        <v>19</v>
      </c>
      <c r="F87" s="60" t="s">
        <v>469</v>
      </c>
      <c r="G87" s="60">
        <f>Projects[[#This Row],[Activity Ref]]</f>
        <v>12</v>
      </c>
      <c r="H87" s="45" t="s">
        <v>275</v>
      </c>
      <c r="J87" s="2" t="str">
        <f>IF(OR(ISBLANK(Projects[[#This Row],[Task]]),Projects[[#This Row],[Task]]=0),"",CONCATENATE(Projects[[#This Row],[Phase]],Projects[[#This Row],[Task]]))</f>
        <v>1203</v>
      </c>
      <c r="K87" s="2" t="s">
        <v>224</v>
      </c>
      <c r="L87" s="2" t="s">
        <v>229</v>
      </c>
      <c r="O87" s="2" t="s">
        <v>286</v>
      </c>
      <c r="S87" s="13">
        <f>SUM(Projects[[#This Row],[2026 Budget]])*5/12+Projects[[#This Row],[2025]]</f>
        <v>34985.21</v>
      </c>
      <c r="T87" s="2" t="s">
        <v>119</v>
      </c>
      <c r="U87" s="2" t="s">
        <v>232</v>
      </c>
      <c r="V87" s="40">
        <f t="shared" si="5"/>
        <v>187933.7</v>
      </c>
      <c r="W87" s="2"/>
      <c r="X87" s="17"/>
      <c r="Y87" s="17"/>
      <c r="Z87" s="2" t="s">
        <v>346</v>
      </c>
      <c r="AA87" s="40">
        <f t="shared" si="4"/>
        <v>187933.7</v>
      </c>
      <c r="AB87" s="40" t="str">
        <f>IFERROR(INDEX(#REF!,MATCH(#REF!,#REF!,0)),"")</f>
        <v/>
      </c>
      <c r="AC87" s="40" t="str">
        <f>IFERROR(INDEX(#REF!,MATCH(#REF!,#REF!,0)),"")</f>
        <v/>
      </c>
      <c r="AD87" s="19">
        <v>21803.49</v>
      </c>
      <c r="AE87" s="19">
        <v>19310.21</v>
      </c>
      <c r="AF87" s="198">
        <f>20000+17620</f>
        <v>37620</v>
      </c>
      <c r="AG87" s="198">
        <v>36400</v>
      </c>
      <c r="AH87" s="198">
        <v>36400</v>
      </c>
      <c r="AI87" s="198">
        <v>36400</v>
      </c>
      <c r="AN87" s="13">
        <v>21803.49</v>
      </c>
      <c r="AO87" s="13">
        <v>640.89</v>
      </c>
      <c r="AP87" s="13">
        <f>Projects[[#This Row],[2025]]</f>
        <v>19310.21</v>
      </c>
      <c r="AQ87" s="33">
        <f>SUM(Projects[[#This Row],[2024 Actual]],Projects[[#This Row],[2025 Actual ]])</f>
        <v>41113.699999999997</v>
      </c>
      <c r="AS87" s="173">
        <f>IF(Projects[[#This Row],[WRP Funding Allocated USD]]=0,"-",Projects[[#This Row],[Actual Spend USD]]/Projects[[#This Row],[WRP Funding Allocated USD]])</f>
        <v>0.21876704390963406</v>
      </c>
      <c r="AY87" s="150" t="e">
        <f>Projects[[#This Row],[No. Action Completed]]/Projects[[#This Row],[No. Actions Identified]]</f>
        <v>#DIV/0!</v>
      </c>
      <c r="BC87" s="15"/>
      <c r="BD87" s="15"/>
      <c r="BE87" s="17" t="s">
        <v>220</v>
      </c>
      <c r="BF87" s="17" t="s">
        <v>220</v>
      </c>
      <c r="BG87" s="38">
        <v>0.2</v>
      </c>
      <c r="BH87" s="38">
        <v>0.2</v>
      </c>
      <c r="BI87" s="64" t="s">
        <v>221</v>
      </c>
      <c r="BJ87" s="64" t="s">
        <v>221</v>
      </c>
      <c r="BK87" s="151" t="s">
        <v>303</v>
      </c>
      <c r="BL87" s="151" t="s">
        <v>119</v>
      </c>
    </row>
    <row r="88" spans="1:64" ht="52.5" customHeight="1">
      <c r="A88" s="32">
        <f>INDEX('Implementation Plan V2 Sep25'!A:A,MATCH(E88,'Implementation Plan V2 Sep25'!F:F,0))</f>
        <v>5</v>
      </c>
      <c r="B88" s="33" t="str">
        <f>INDEX('Implementation Plan V2 Sep25'!C:C,MATCH(E88,'Implementation Plan V2 Sep25'!F:F,0))</f>
        <v>Output 5.1 Pacific capacity and collaborative approaches to deliver locally-relevant, impact-based, inclusive and accessible forecasts and warnings for end users strengthened and sustained</v>
      </c>
      <c r="C88" s="33" t="str">
        <f>INDEX('Implementation Plan V2 Sep25'!E:E,MATCH(E88,'Implementation Plan V2 Sep25'!F:F,0))</f>
        <v>5.1.1</v>
      </c>
      <c r="D88" s="33">
        <f>INDEX('Implementation Plan V2 Sep25'!D:D,MATCH(E88,'Implementation Plan V2 Sep25'!F:F,0))</f>
        <v>51</v>
      </c>
      <c r="E88" s="2" t="s">
        <v>124</v>
      </c>
      <c r="F88" s="2" t="s">
        <v>470</v>
      </c>
      <c r="G88" s="2">
        <f>Projects[[#This Row],[Activity Ref]]</f>
        <v>51</v>
      </c>
      <c r="H88" s="45" t="s">
        <v>285</v>
      </c>
      <c r="J88" s="2" t="str">
        <f>IF(OR(ISBLANK(Projects[[#This Row],[Task]]),Projects[[#This Row],[Task]]=0),"",CONCATENATE(Projects[[#This Row],[Phase]],Projects[[#This Row],[Task]]))</f>
        <v>5102</v>
      </c>
      <c r="K88" s="2" t="s">
        <v>224</v>
      </c>
      <c r="L88" s="2" t="s">
        <v>229</v>
      </c>
      <c r="O88" s="2" t="s">
        <v>251</v>
      </c>
      <c r="S88" s="13"/>
      <c r="T88" s="2" t="s">
        <v>216</v>
      </c>
      <c r="U88" s="2" t="s">
        <v>232</v>
      </c>
      <c r="V88" s="40">
        <f t="shared" si="5"/>
        <v>50000.000217391294</v>
      </c>
      <c r="W88" s="15"/>
      <c r="X88" s="17"/>
      <c r="Y88" s="17"/>
      <c r="Z88" s="2" t="s">
        <v>233</v>
      </c>
      <c r="AA88" s="40">
        <f t="shared" si="4"/>
        <v>50000.000217391294</v>
      </c>
      <c r="AB88" s="40" t="str">
        <f>IFERROR(INDEX(#REF!,MATCH(#REF!,#REF!,0)),"")</f>
        <v/>
      </c>
      <c r="AC88" s="40" t="str">
        <f>IFERROR(INDEX(#REF!,MATCH(#REF!,#REF!,0)),"")</f>
        <v/>
      </c>
      <c r="AD88" s="13"/>
      <c r="AE88" s="13"/>
      <c r="AF88" s="13"/>
      <c r="AG88" s="13">
        <f>54069.5652173913-4069.565</f>
        <v>50000.000217391294</v>
      </c>
      <c r="AQ88" s="33">
        <f>SUM(Projects[[#This Row],[2024 Actual]],Projects[[#This Row],[2025 Actual ]])</f>
        <v>0</v>
      </c>
      <c r="AS88" s="173">
        <f>IF(Projects[[#This Row],[WRP Funding Allocated USD]]=0,"-",Projects[[#This Row],[Actual Spend USD]]/Projects[[#This Row],[WRP Funding Allocated USD]])</f>
        <v>0</v>
      </c>
      <c r="AY88" s="150" t="e">
        <f>Projects[[#This Row],[No. Action Completed]]/Projects[[#This Row],[No. Actions Identified]]</f>
        <v>#DIV/0!</v>
      </c>
      <c r="BC88" s="15"/>
      <c r="BD88" s="15"/>
      <c r="BE88" s="17" t="s">
        <v>249</v>
      </c>
      <c r="BF88" s="17" t="s">
        <v>249</v>
      </c>
      <c r="BG88" s="38">
        <v>0</v>
      </c>
      <c r="BH88" s="38">
        <v>0</v>
      </c>
      <c r="BI88" s="64" t="s">
        <v>119</v>
      </c>
      <c r="BJ88" s="64" t="s">
        <v>119</v>
      </c>
      <c r="BK88" s="17" t="s">
        <v>242</v>
      </c>
      <c r="BL88" s="17" t="s">
        <v>119</v>
      </c>
    </row>
    <row r="89" spans="1:64" ht="40.5" customHeight="1">
      <c r="A89" s="32">
        <f>INDEX('Implementation Plan V2 Sep25'!A:A,MATCH(E89,'Implementation Plan V2 Sep25'!F:F,0))</f>
        <v>3</v>
      </c>
      <c r="B89" s="33" t="str">
        <f>INDEX('Implementation Plan V2 Sep25'!C:C,MATCH(E89,'Implementation Plan V2 Sep25'!F:F,0))</f>
        <v>Output 3.1 Interoperable, affordable and resilient observation network progressively remediated, expanded and sustained</v>
      </c>
      <c r="C89" s="33" t="str">
        <f>INDEX('Implementation Plan V2 Sep25'!E:E,MATCH(E89,'Implementation Plan V2 Sep25'!F:F,0))</f>
        <v>3.1.1</v>
      </c>
      <c r="D89" s="33">
        <f>INDEX('Implementation Plan V2 Sep25'!D:D,MATCH(E89,'Implementation Plan V2 Sep25'!F:F,0))</f>
        <v>32</v>
      </c>
      <c r="E89" s="2" t="s">
        <v>71</v>
      </c>
      <c r="F89" s="2" t="s">
        <v>471</v>
      </c>
      <c r="G89" s="2">
        <f>Projects[[#This Row],[Activity Ref]]</f>
        <v>32</v>
      </c>
      <c r="H89" s="45" t="s">
        <v>238</v>
      </c>
      <c r="J89" s="2" t="str">
        <f>IF(OR(ISBLANK(Projects[[#This Row],[Task]]),Projects[[#This Row],[Task]]=0),"",CONCATENATE(Projects[[#This Row],[Phase]],Projects[[#This Row],[Task]]))</f>
        <v>3207</v>
      </c>
      <c r="K89" s="2" t="s">
        <v>214</v>
      </c>
      <c r="L89" s="2" t="s">
        <v>229</v>
      </c>
      <c r="O89" s="2" t="s">
        <v>292</v>
      </c>
      <c r="Q89" s="2">
        <v>2025</v>
      </c>
      <c r="R89" s="2" t="s">
        <v>472</v>
      </c>
      <c r="S89" s="13">
        <f>SUM(Projects[[#This Row],[2025]])</f>
        <v>0</v>
      </c>
      <c r="T89" s="2" t="s">
        <v>216</v>
      </c>
      <c r="U89" s="2" t="s">
        <v>232</v>
      </c>
      <c r="V89" s="40">
        <f t="shared" si="5"/>
        <v>20000</v>
      </c>
      <c r="W89" s="2"/>
      <c r="X89" s="17"/>
      <c r="Y89" s="17"/>
      <c r="Z89" s="2" t="s">
        <v>248</v>
      </c>
      <c r="AA89" s="40">
        <f t="shared" si="4"/>
        <v>20000</v>
      </c>
      <c r="AB89" s="40" t="str">
        <f>IFERROR(INDEX(#REF!,MATCH(#REF!,#REF!,0)),"")</f>
        <v/>
      </c>
      <c r="AC89" s="40" t="str">
        <f>IFERROR(INDEX(#REF!,MATCH(#REF!,#REF!,0)),"")</f>
        <v/>
      </c>
      <c r="AD89" s="13"/>
      <c r="AE89" s="19"/>
      <c r="AF89" s="19"/>
      <c r="AG89" s="19">
        <v>20000</v>
      </c>
      <c r="AQ89" s="33">
        <f>SUM(Projects[[#This Row],[2024 Actual]],Projects[[#This Row],[2025 Actual ]])</f>
        <v>0</v>
      </c>
      <c r="AS89" s="173">
        <f>IF(Projects[[#This Row],[WRP Funding Allocated USD]]=0,"-",Projects[[#This Row],[Actual Spend USD]]/Projects[[#This Row],[WRP Funding Allocated USD]])</f>
        <v>0</v>
      </c>
      <c r="AY89" s="150" t="e">
        <f>Projects[[#This Row],[No. Action Completed]]/Projects[[#This Row],[No. Actions Identified]]</f>
        <v>#DIV/0!</v>
      </c>
      <c r="BC89" s="15"/>
      <c r="BD89" s="15"/>
      <c r="BE89" s="17" t="s">
        <v>249</v>
      </c>
      <c r="BF89" s="17" t="s">
        <v>249</v>
      </c>
      <c r="BG89" s="38">
        <v>0</v>
      </c>
      <c r="BH89" s="38">
        <v>0</v>
      </c>
      <c r="BI89" s="64" t="s">
        <v>119</v>
      </c>
      <c r="BJ89" s="64" t="s">
        <v>119</v>
      </c>
      <c r="BK89" s="18" t="s">
        <v>473</v>
      </c>
      <c r="BL89" s="18" t="s">
        <v>294</v>
      </c>
    </row>
    <row r="90" spans="1:64" ht="40.5" customHeight="1">
      <c r="A90" s="32">
        <f>INDEX('Implementation Plan V2 Sep25'!A:A,MATCH(E90,'Implementation Plan V2 Sep25'!F:F,0))</f>
        <v>3</v>
      </c>
      <c r="B90" s="33" t="str">
        <f>INDEX('Implementation Plan V2 Sep25'!C:C,MATCH(E90,'Implementation Plan V2 Sep25'!F:F,0))</f>
        <v>Output 3.1 Interoperable, affordable and resilient observation network progressively remediated, expanded and sustained</v>
      </c>
      <c r="C90" s="33" t="str">
        <f>INDEX('Implementation Plan V2 Sep25'!E:E,MATCH(E90,'Implementation Plan V2 Sep25'!F:F,0))</f>
        <v>3.1.1</v>
      </c>
      <c r="D90" s="33">
        <f>INDEX('Implementation Plan V2 Sep25'!D:D,MATCH(E90,'Implementation Plan V2 Sep25'!F:F,0))</f>
        <v>32</v>
      </c>
      <c r="E90" s="2" t="s">
        <v>71</v>
      </c>
      <c r="F90" s="2" t="s">
        <v>474</v>
      </c>
      <c r="G90" s="2">
        <f>Projects[[#This Row],[Activity Ref]]</f>
        <v>32</v>
      </c>
      <c r="H90" s="45" t="s">
        <v>266</v>
      </c>
      <c r="J90" s="2" t="str">
        <f>IF(OR(ISBLANK(Projects[[#This Row],[Task]]),Projects[[#This Row],[Task]]=0),"",CONCATENATE(Projects[[#This Row],[Phase]],Projects[[#This Row],[Task]]))</f>
        <v>3208</v>
      </c>
      <c r="K90" s="2" t="s">
        <v>214</v>
      </c>
      <c r="L90" s="2" t="s">
        <v>229</v>
      </c>
      <c r="O90" s="2" t="s">
        <v>292</v>
      </c>
      <c r="Q90" s="2">
        <v>2025</v>
      </c>
      <c r="R90" s="2" t="s">
        <v>472</v>
      </c>
      <c r="S90" s="13">
        <f>Projects[[#This Row],[2026 Budget]]</f>
        <v>0</v>
      </c>
      <c r="T90" s="2" t="s">
        <v>216</v>
      </c>
      <c r="U90" s="2" t="s">
        <v>232</v>
      </c>
      <c r="V90" s="40">
        <f t="shared" si="5"/>
        <v>20000</v>
      </c>
      <c r="W90" s="2"/>
      <c r="X90" s="17"/>
      <c r="Y90" s="17"/>
      <c r="Z90" s="2" t="s">
        <v>248</v>
      </c>
      <c r="AA90" s="40">
        <f t="shared" si="4"/>
        <v>20000</v>
      </c>
      <c r="AB90" s="40" t="str">
        <f>IFERROR(INDEX(#REF!,MATCH(#REF!,#REF!,0)),"")</f>
        <v/>
      </c>
      <c r="AC90" s="40" t="str">
        <f>IFERROR(INDEX(#REF!,MATCH(#REF!,#REF!,0)),"")</f>
        <v/>
      </c>
      <c r="AD90" s="13"/>
      <c r="AE90" s="19"/>
      <c r="AF90" s="19"/>
      <c r="AG90" s="19">
        <v>20000</v>
      </c>
      <c r="AQ90" s="33">
        <f>SUM(Projects[[#This Row],[2024 Actual]],Projects[[#This Row],[2025 Actual ]])</f>
        <v>0</v>
      </c>
      <c r="AS90" s="173">
        <f>IF(Projects[[#This Row],[WRP Funding Allocated USD]]=0,"-",Projects[[#This Row],[Actual Spend USD]]/Projects[[#This Row],[WRP Funding Allocated USD]])</f>
        <v>0</v>
      </c>
      <c r="AY90" s="150" t="e">
        <f>Projects[[#This Row],[No. Action Completed]]/Projects[[#This Row],[No. Actions Identified]]</f>
        <v>#DIV/0!</v>
      </c>
      <c r="BC90" s="15"/>
      <c r="BD90" s="15"/>
      <c r="BE90" s="17" t="s">
        <v>249</v>
      </c>
      <c r="BF90" s="17" t="s">
        <v>249</v>
      </c>
      <c r="BG90" s="38">
        <v>0</v>
      </c>
      <c r="BH90" s="38">
        <v>0</v>
      </c>
      <c r="BI90" s="64" t="s">
        <v>119</v>
      </c>
      <c r="BJ90" s="64" t="s">
        <v>119</v>
      </c>
      <c r="BK90" s="18" t="s">
        <v>475</v>
      </c>
      <c r="BL90" s="18" t="s">
        <v>294</v>
      </c>
    </row>
    <row r="91" spans="1:64" ht="40.5" customHeight="1">
      <c r="A91" s="32">
        <f>INDEX('Implementation Plan V2 Sep25'!A:A,MATCH(E91,'Implementation Plan V2 Sep25'!F:F,0))</f>
        <v>3</v>
      </c>
      <c r="B91" s="33" t="str">
        <f>INDEX('Implementation Plan V2 Sep25'!C:C,MATCH(E91,'Implementation Plan V2 Sep25'!F:F,0))</f>
        <v>Output 3.1 Interoperable, affordable and resilient observation network progressively remediated, expanded and sustained</v>
      </c>
      <c r="C91" s="33" t="str">
        <f>INDEX('Implementation Plan V2 Sep25'!E:E,MATCH(E91,'Implementation Plan V2 Sep25'!F:F,0))</f>
        <v>3.1.1</v>
      </c>
      <c r="D91" s="33">
        <f>INDEX('Implementation Plan V2 Sep25'!D:D,MATCH(E91,'Implementation Plan V2 Sep25'!F:F,0))</f>
        <v>32</v>
      </c>
      <c r="E91" s="2" t="s">
        <v>71</v>
      </c>
      <c r="F91" s="2" t="s">
        <v>476</v>
      </c>
      <c r="G91" s="2">
        <f>Projects[[#This Row],[Activity Ref]]</f>
        <v>32</v>
      </c>
      <c r="H91" s="45" t="s">
        <v>279</v>
      </c>
      <c r="J91" s="2" t="str">
        <f>IF(OR(ISBLANK(Projects[[#This Row],[Task]]),Projects[[#This Row],[Task]]=0),"",CONCATENATE(Projects[[#This Row],[Phase]],Projects[[#This Row],[Task]]))</f>
        <v>3209</v>
      </c>
      <c r="K91" s="2" t="s">
        <v>214</v>
      </c>
      <c r="L91" s="2" t="s">
        <v>229</v>
      </c>
      <c r="O91" s="2" t="s">
        <v>251</v>
      </c>
      <c r="Q91" s="2">
        <v>2026</v>
      </c>
      <c r="S91" s="13">
        <f>SUM(Projects[[#This Row],[2026 Budget]])</f>
        <v>0</v>
      </c>
      <c r="T91" s="2" t="s">
        <v>216</v>
      </c>
      <c r="U91" s="2" t="s">
        <v>232</v>
      </c>
      <c r="V91" s="40">
        <f t="shared" si="5"/>
        <v>10000</v>
      </c>
      <c r="W91" s="2"/>
      <c r="X91" s="17"/>
      <c r="Y91" s="17"/>
      <c r="Z91" s="2" t="s">
        <v>248</v>
      </c>
      <c r="AA91" s="40">
        <f t="shared" si="4"/>
        <v>10000</v>
      </c>
      <c r="AB91" s="40" t="str">
        <f>IFERROR(INDEX(#REF!,MATCH(#REF!,#REF!,0)),"")</f>
        <v/>
      </c>
      <c r="AC91" s="40" t="str">
        <f>IFERROR(INDEX(#REF!,MATCH(#REF!,#REF!,0)),"")</f>
        <v/>
      </c>
      <c r="AD91" s="13"/>
      <c r="AE91" s="13"/>
      <c r="AF91" s="19"/>
      <c r="AG91" s="19">
        <v>10000</v>
      </c>
      <c r="AQ91" s="33">
        <f>SUM(Projects[[#This Row],[2024 Actual]],Projects[[#This Row],[2025 Actual ]])</f>
        <v>0</v>
      </c>
      <c r="AS91" s="173">
        <f>IF(Projects[[#This Row],[WRP Funding Allocated USD]]=0,"-",Projects[[#This Row],[Actual Spend USD]]/Projects[[#This Row],[WRP Funding Allocated USD]])</f>
        <v>0</v>
      </c>
      <c r="AY91" s="150" t="e">
        <f>Projects[[#This Row],[No. Action Completed]]/Projects[[#This Row],[No. Actions Identified]]</f>
        <v>#DIV/0!</v>
      </c>
      <c r="BC91" s="15"/>
      <c r="BD91" s="15"/>
      <c r="BE91" s="17" t="s">
        <v>249</v>
      </c>
      <c r="BF91" s="17" t="s">
        <v>249</v>
      </c>
      <c r="BG91" s="38">
        <v>0</v>
      </c>
      <c r="BH91" s="38">
        <v>0</v>
      </c>
      <c r="BI91" s="64" t="s">
        <v>119</v>
      </c>
      <c r="BJ91" s="64" t="s">
        <v>119</v>
      </c>
      <c r="BK91" s="18" t="s">
        <v>242</v>
      </c>
      <c r="BL91" s="18" t="s">
        <v>294</v>
      </c>
    </row>
    <row r="92" spans="1:64" ht="40.5" customHeight="1">
      <c r="A92" s="32">
        <f>INDEX('Implementation Plan V2 Sep25'!A:A,MATCH(E92,'Implementation Plan V2 Sep25'!F:F,0))</f>
        <v>3</v>
      </c>
      <c r="B92" s="33" t="str">
        <f>INDEX('Implementation Plan V2 Sep25'!C:C,MATCH(E92,'Implementation Plan V2 Sep25'!F:F,0))</f>
        <v>Output 3.1 Interoperable, affordable and resilient observation network progressively remediated, expanded and sustained</v>
      </c>
      <c r="C92" s="33" t="str">
        <f>INDEX('Implementation Plan V2 Sep25'!E:E,MATCH(E92,'Implementation Plan V2 Sep25'!F:F,0))</f>
        <v>3.1.1</v>
      </c>
      <c r="D92" s="33">
        <f>INDEX('Implementation Plan V2 Sep25'!D:D,MATCH(E92,'Implementation Plan V2 Sep25'!F:F,0))</f>
        <v>32</v>
      </c>
      <c r="E92" s="2" t="s">
        <v>71</v>
      </c>
      <c r="F92" s="2" t="s">
        <v>477</v>
      </c>
      <c r="G92" s="2">
        <f>Projects[[#This Row],[Activity Ref]]</f>
        <v>32</v>
      </c>
      <c r="H92" s="11">
        <v>10</v>
      </c>
      <c r="J92" s="2" t="str">
        <f>IF(OR(ISBLANK(Projects[[#This Row],[Task]]),Projects[[#This Row],[Task]]=0),"",CONCATENATE(Projects[[#This Row],[Phase]],Projects[[#This Row],[Task]]))</f>
        <v>3210</v>
      </c>
      <c r="K92" s="2" t="s">
        <v>214</v>
      </c>
      <c r="L92" s="2" t="s">
        <v>229</v>
      </c>
      <c r="O92" s="2" t="s">
        <v>251</v>
      </c>
      <c r="Q92" s="2">
        <v>2026</v>
      </c>
      <c r="S92" s="13">
        <f>SUM(Projects[[#This Row],[2026 Budget]])</f>
        <v>0</v>
      </c>
      <c r="T92" s="2" t="s">
        <v>216</v>
      </c>
      <c r="U92" s="2" t="s">
        <v>232</v>
      </c>
      <c r="V92" s="40">
        <f>SUM(X92,AA92)</f>
        <v>20000</v>
      </c>
      <c r="W92" s="2"/>
      <c r="X92" s="17"/>
      <c r="Y92" s="17"/>
      <c r="Z92" s="2" t="s">
        <v>248</v>
      </c>
      <c r="AA92" s="40">
        <f t="shared" si="4"/>
        <v>20000</v>
      </c>
      <c r="AB92" s="40" t="str">
        <f>IFERROR(INDEX(#REF!,MATCH(#REF!,#REF!,0)),"")</f>
        <v/>
      </c>
      <c r="AC92" s="40" t="str">
        <f>IFERROR(INDEX(#REF!,MATCH(#REF!,#REF!,0)),"")</f>
        <v/>
      </c>
      <c r="AD92" s="13"/>
      <c r="AE92" s="13"/>
      <c r="AF92" s="19"/>
      <c r="AG92" s="19">
        <v>20000</v>
      </c>
      <c r="AQ92" s="33">
        <f>SUM(Projects[[#This Row],[2024 Actual]],Projects[[#This Row],[2025 Actual ]])</f>
        <v>0</v>
      </c>
      <c r="AR92" s="40"/>
      <c r="AS92" s="173">
        <f>IF(Projects[[#This Row],[WRP Funding Allocated USD]]=0,"-",Projects[[#This Row],[Actual Spend USD]]/Projects[[#This Row],[WRP Funding Allocated USD]])</f>
        <v>0</v>
      </c>
      <c r="AT92" s="173"/>
      <c r="AU92" s="173"/>
      <c r="AV92" s="173"/>
      <c r="AY92" s="150" t="e">
        <f>Projects[[#This Row],[No. Action Completed]]/Projects[[#This Row],[No. Actions Identified]]</f>
        <v>#DIV/0!</v>
      </c>
      <c r="BC92" s="199"/>
      <c r="BD92" s="199"/>
      <c r="BE92" s="40"/>
      <c r="BF92" s="17"/>
      <c r="BG92" s="38"/>
      <c r="BH92" s="38"/>
      <c r="BI92" s="64"/>
      <c r="BJ92" s="64"/>
      <c r="BK92" s="200" t="s">
        <v>242</v>
      </c>
      <c r="BL92" s="18"/>
    </row>
    <row r="93" spans="1:64" ht="47.25" customHeight="1">
      <c r="A93" s="32">
        <f>INDEX('Implementation Plan V2 Sep25'!A:A,MATCH(E93,'Implementation Plan V2 Sep25'!F:F,0))</f>
        <v>5</v>
      </c>
      <c r="B93" s="33" t="str">
        <f>INDEX('Implementation Plan V2 Sep25'!C:C,MATCH(E93,'Implementation Plan V2 Sep25'!F:F,0))</f>
        <v>Output 5.1 Pacific capacity and collaborative approaches to deliver locally-relevant, impact-based, inclusive and accessible forecasts and warnings for end users strengthened and sustained</v>
      </c>
      <c r="C93" s="33" t="str">
        <f>INDEX('Implementation Plan V2 Sep25'!E:E,MATCH(E93,'Implementation Plan V2 Sep25'!F:F,0))</f>
        <v>5.1.4</v>
      </c>
      <c r="D93" s="33">
        <f>INDEX('Implementation Plan V2 Sep25'!D:D,MATCH(E93,'Implementation Plan V2 Sep25'!F:F,0))</f>
        <v>54</v>
      </c>
      <c r="E93" s="2" t="s">
        <v>133</v>
      </c>
      <c r="F93" s="2" t="s">
        <v>250</v>
      </c>
      <c r="G93" s="2">
        <f>Projects[[#This Row],[Activity Ref]]</f>
        <v>54</v>
      </c>
      <c r="H93" s="45" t="s">
        <v>245</v>
      </c>
      <c r="J93" s="2" t="str">
        <f>IF(OR(ISBLANK(Projects[[#This Row],[Task]]),Projects[[#This Row],[Task]]=0),"",CONCATENATE(Projects[[#This Row],[Phase]],Projects[[#This Row],[Task]]))</f>
        <v>5401</v>
      </c>
      <c r="K93" s="2" t="s">
        <v>224</v>
      </c>
      <c r="L93" s="2" t="s">
        <v>229</v>
      </c>
      <c r="O93" s="2" t="s">
        <v>251</v>
      </c>
      <c r="Q93" s="2">
        <v>2026</v>
      </c>
      <c r="S93" s="13"/>
      <c r="T93" s="2" t="s">
        <v>119</v>
      </c>
      <c r="U93" s="2" t="s">
        <v>232</v>
      </c>
      <c r="V93" s="40">
        <f t="shared" si="5"/>
        <v>86956.521739130447</v>
      </c>
      <c r="W93" s="15"/>
      <c r="X93" s="17"/>
      <c r="Y93" s="17"/>
      <c r="Z93" s="2" t="s">
        <v>233</v>
      </c>
      <c r="AA93" s="40">
        <f t="shared" si="4"/>
        <v>86956.521739130447</v>
      </c>
      <c r="AB93" s="40" t="str">
        <f>IFERROR(INDEX(#REF!,MATCH(#REF!,#REF!,0)),"")</f>
        <v/>
      </c>
      <c r="AD93" s="13"/>
      <c r="AE93" s="13"/>
      <c r="AF93" s="13">
        <f>100000/1.15</f>
        <v>86956.521739130447</v>
      </c>
      <c r="AG93" s="13"/>
      <c r="AQ93" s="33">
        <f>SUM(Projects[[#This Row],[2024 Actual]],Projects[[#This Row],[2025 Actual ]])</f>
        <v>0</v>
      </c>
      <c r="AS93" s="173">
        <f>IF(Projects[[#This Row],[WRP Funding Allocated USD]]=0,"-",Projects[[#This Row],[Actual Spend USD]]/Projects[[#This Row],[WRP Funding Allocated USD]])</f>
        <v>0</v>
      </c>
      <c r="AY93" s="150" t="e">
        <f>Projects[[#This Row],[No. Action Completed]]/Projects[[#This Row],[No. Actions Identified]]</f>
        <v>#DIV/0!</v>
      </c>
      <c r="BC93" s="15"/>
      <c r="BD93" s="15"/>
      <c r="BE93" s="17" t="s">
        <v>249</v>
      </c>
      <c r="BF93" s="17" t="s">
        <v>249</v>
      </c>
      <c r="BG93" s="38">
        <v>0</v>
      </c>
      <c r="BH93" s="38">
        <v>0</v>
      </c>
      <c r="BI93" s="64" t="s">
        <v>119</v>
      </c>
      <c r="BJ93" s="64" t="s">
        <v>119</v>
      </c>
      <c r="BK93" s="17" t="s">
        <v>242</v>
      </c>
      <c r="BL93" s="17" t="s">
        <v>119</v>
      </c>
    </row>
    <row r="94" spans="1:64" ht="44.65" customHeight="1">
      <c r="A94" s="32">
        <f>INDEX('Implementation Plan V2 Sep25'!A:A,MATCH(E94,'Implementation Plan V2 Sep25'!F:F,0))</f>
        <v>3</v>
      </c>
      <c r="B94" s="33" t="str">
        <f>INDEX('Implementation Plan V2 Sep25'!C:C,MATCH(E94,'Implementation Plan V2 Sep25'!F:F,0))</f>
        <v>Output 3.1 Interoperable, affordable and resilient observation network progressively remediated, expanded and sustained</v>
      </c>
      <c r="C94" s="33" t="str">
        <f>INDEX('Implementation Plan V2 Sep25'!E:E,MATCH(E94,'Implementation Plan V2 Sep25'!F:F,0))</f>
        <v>3.1.3</v>
      </c>
      <c r="D94" s="33">
        <f>INDEX('Implementation Plan V2 Sep25'!D:D,MATCH(E94,'Implementation Plan V2 Sep25'!F:F,0))</f>
        <v>71</v>
      </c>
      <c r="E94" s="2" t="s">
        <v>78</v>
      </c>
      <c r="F94" s="2" t="s">
        <v>478</v>
      </c>
      <c r="G94" s="2"/>
      <c r="H94" s="45"/>
      <c r="J94" s="2" t="str">
        <f>IF(OR(ISBLANK(Projects[[#This Row],[Task]]),Projects[[#This Row],[Task]]=0),"",CONCATENATE(Projects[[#This Row],[Phase]],Projects[[#This Row],[Task]]))</f>
        <v/>
      </c>
      <c r="K94" s="2" t="s">
        <v>310</v>
      </c>
      <c r="L94" s="2" t="s">
        <v>280</v>
      </c>
      <c r="S94" s="13"/>
      <c r="V94" s="40">
        <f t="shared" si="5"/>
        <v>0</v>
      </c>
      <c r="W94" s="2" t="s">
        <v>248</v>
      </c>
      <c r="X94" s="19" t="s">
        <v>393</v>
      </c>
      <c r="Y94" s="19"/>
      <c r="AA94" s="40">
        <f t="shared" si="4"/>
        <v>0</v>
      </c>
      <c r="AB94" s="40" t="str">
        <f>IFERROR(INDEX(#REF!,MATCH(#REF!,#REF!,0)),"")</f>
        <v/>
      </c>
      <c r="AC94" s="40" t="str">
        <f>IFERROR(INDEX(#REF!,MATCH(#REF!,#REF!,0)),"")</f>
        <v/>
      </c>
      <c r="AD94" s="13"/>
      <c r="AE94" s="19"/>
      <c r="AF94" s="13"/>
      <c r="AG94" s="13"/>
      <c r="AQ94" s="33">
        <f>SUM(Projects[[#This Row],[2024 Actual]],Projects[[#This Row],[2025 Actual ]])</f>
        <v>0</v>
      </c>
      <c r="AS94" s="173" t="str">
        <f>IF(Projects[[#This Row],[WRP Funding Allocated USD]]=0,"-",Projects[[#This Row],[Actual Spend USD]]/Projects[[#This Row],[WRP Funding Allocated USD]])</f>
        <v>-</v>
      </c>
      <c r="AY94" s="150" t="e">
        <f>Projects[[#This Row],[No. Action Completed]]/Projects[[#This Row],[No. Actions Identified]]</f>
        <v>#DIV/0!</v>
      </c>
      <c r="BC94" s="15"/>
      <c r="BD94" s="15"/>
      <c r="BE94" s="17"/>
      <c r="BF94" s="17"/>
      <c r="BG94" s="38" t="s">
        <v>119</v>
      </c>
      <c r="BH94" s="38" t="s">
        <v>119</v>
      </c>
      <c r="BI94" s="64" t="s">
        <v>119</v>
      </c>
      <c r="BJ94" s="64" t="s">
        <v>119</v>
      </c>
      <c r="BK94" s="18" t="s">
        <v>242</v>
      </c>
      <c r="BL94" s="18" t="s">
        <v>119</v>
      </c>
    </row>
    <row r="95" spans="1:64" ht="40.5" customHeight="1">
      <c r="A95" s="32">
        <f>INDEX('Implementation Plan V2 Sep25'!A:A,MATCH(E95,'Implementation Plan V2 Sep25'!F:F,0))</f>
        <v>2</v>
      </c>
      <c r="B95" s="33" t="str">
        <f>INDEX('Implementation Plan V2 Sep25'!C:C,MATCH(E95,'Implementation Plan V2 Sep25'!F:F,0))</f>
        <v>OP2.2 Inclusive leadership and technical capability strengthening programmes established and delivering ongoing training to industry standards</v>
      </c>
      <c r="C95" s="33" t="str">
        <f>INDEX('Implementation Plan V2 Sep25'!E:E,MATCH(E95,'Implementation Plan V2 Sep25'!F:F,0))</f>
        <v>2.2.3</v>
      </c>
      <c r="D95" s="33">
        <f>INDEX('Implementation Plan V2 Sep25'!D:D,MATCH(E95,'Implementation Plan V2 Sep25'!F:F,0))</f>
        <v>24</v>
      </c>
      <c r="E95" s="2" t="s">
        <v>51</v>
      </c>
      <c r="F95" s="2" t="s">
        <v>479</v>
      </c>
      <c r="G95" s="2"/>
      <c r="H95" s="45"/>
      <c r="J95" s="2" t="str">
        <f>IF(OR(ISBLANK(Projects[[#This Row],[Task]]),Projects[[#This Row],[Task]]=0),"",CONCATENATE(Projects[[#This Row],[Phase]],Projects[[#This Row],[Task]]))</f>
        <v/>
      </c>
      <c r="K95" s="2" t="s">
        <v>310</v>
      </c>
      <c r="L95" s="2" t="s">
        <v>280</v>
      </c>
      <c r="S95" s="13"/>
      <c r="V95" s="40">
        <f t="shared" si="5"/>
        <v>0</v>
      </c>
      <c r="W95" s="2" t="s">
        <v>248</v>
      </c>
      <c r="X95" s="19" t="s">
        <v>393</v>
      </c>
      <c r="Y95" s="19"/>
      <c r="AA95" s="40">
        <f t="shared" si="4"/>
        <v>0</v>
      </c>
      <c r="AB95" s="40" t="str">
        <f>IFERROR(INDEX(#REF!,MATCH(#REF!,#REF!,0)),"")</f>
        <v/>
      </c>
      <c r="AC95" s="40" t="str">
        <f>IFERROR(INDEX(#REF!,MATCH(#REF!,#REF!,0)),"")</f>
        <v/>
      </c>
      <c r="AD95" s="13"/>
      <c r="AE95" s="19"/>
      <c r="AF95" s="13"/>
      <c r="AG95" s="13"/>
      <c r="AQ95" s="33">
        <f>SUM(Projects[[#This Row],[2024 Actual]],Projects[[#This Row],[2025 Actual ]])</f>
        <v>0</v>
      </c>
      <c r="AS95" s="173" t="str">
        <f>IF(Projects[[#This Row],[WRP Funding Allocated USD]]=0,"-",Projects[[#This Row],[Actual Spend USD]]/Projects[[#This Row],[WRP Funding Allocated USD]])</f>
        <v>-</v>
      </c>
      <c r="AY95" s="150" t="e">
        <f>Projects[[#This Row],[No. Action Completed]]/Projects[[#This Row],[No. Actions Identified]]</f>
        <v>#DIV/0!</v>
      </c>
      <c r="BC95" s="15"/>
      <c r="BD95" s="15"/>
      <c r="BE95" s="17"/>
      <c r="BF95" s="17"/>
      <c r="BG95" s="38" t="s">
        <v>119</v>
      </c>
      <c r="BH95" s="38" t="s">
        <v>119</v>
      </c>
      <c r="BI95" s="64" t="s">
        <v>119</v>
      </c>
      <c r="BJ95" s="64" t="s">
        <v>119</v>
      </c>
      <c r="BK95" s="18" t="s">
        <v>242</v>
      </c>
      <c r="BL95" s="18" t="s">
        <v>119</v>
      </c>
    </row>
    <row r="96" spans="1:64" ht="60" customHeight="1">
      <c r="A96" s="32">
        <f>INDEX('Implementation Plan V2 Sep25'!A:A,MATCH(E96,'Implementation Plan V2 Sep25'!F:F,0))</f>
        <v>4</v>
      </c>
      <c r="B96" s="33" t="str">
        <f>INDEX('Implementation Plan V2 Sep25'!C:C,MATCH(E96,'Implementation Plan V2 Sep25'!F:F,0))</f>
        <v>OP4.2 Pacific forecasting capacity expanded and maintained</v>
      </c>
      <c r="C96" s="33" t="str">
        <f>INDEX('Implementation Plan V2 Sep25'!E:E,MATCH(E96,'Implementation Plan V2 Sep25'!F:F,0))</f>
        <v>4.2.5</v>
      </c>
      <c r="D96" s="33">
        <f>INDEX('Implementation Plan V2 Sep25'!D:D,MATCH(E96,'Implementation Plan V2 Sep25'!F:F,0))</f>
        <v>46</v>
      </c>
      <c r="E96" s="2" t="s">
        <v>115</v>
      </c>
      <c r="F96" s="2" t="s">
        <v>480</v>
      </c>
      <c r="G96" s="2">
        <f>Projects[[#This Row],[Activity Ref]]</f>
        <v>46</v>
      </c>
      <c r="H96" s="45" t="s">
        <v>245</v>
      </c>
      <c r="I96" s="55">
        <v>2502</v>
      </c>
      <c r="J96" s="2" t="str">
        <f>IF(OR(ISBLANK(Projects[[#This Row],[Task]]),Projects[[#This Row],[Task]]=0),"",CONCATENATE(Projects[[#This Row],[Phase]],Projects[[#This Row],[Task]]))</f>
        <v>4601</v>
      </c>
      <c r="K96" s="2" t="s">
        <v>214</v>
      </c>
      <c r="L96" s="2" t="s">
        <v>400</v>
      </c>
      <c r="O96" s="2" t="s">
        <v>251</v>
      </c>
      <c r="Q96" s="2">
        <v>2025</v>
      </c>
      <c r="R96" s="2" t="s">
        <v>481</v>
      </c>
      <c r="S96" s="13">
        <f>SUM(Projects[[#This Row],[2025]:[2026 Budget]])</f>
        <v>92973.75</v>
      </c>
      <c r="T96" s="2" t="s">
        <v>216</v>
      </c>
      <c r="U96" s="2" t="s">
        <v>232</v>
      </c>
      <c r="V96" s="40">
        <f t="shared" si="5"/>
        <v>842962</v>
      </c>
      <c r="W96" s="15" t="s">
        <v>482</v>
      </c>
      <c r="X96" s="17">
        <f>1210000*0.619825</f>
        <v>749988.25</v>
      </c>
      <c r="Y96" s="17"/>
      <c r="Z96" s="2" t="s">
        <v>248</v>
      </c>
      <c r="AA96" s="40">
        <f t="shared" si="4"/>
        <v>92973.75</v>
      </c>
      <c r="AB96" s="40" t="str">
        <f>IFERROR(INDEX(#REF!,MATCH(#REF!,#REF!,0)),"")</f>
        <v/>
      </c>
      <c r="AC96" s="40" t="str">
        <f>IFERROR(INDEX(#REF!,MATCH(#REF!,#REF!,0)),"")</f>
        <v/>
      </c>
      <c r="AD96" s="13"/>
      <c r="AE96" s="21">
        <v>0</v>
      </c>
      <c r="AF96" s="61">
        <f>150000*0.619825</f>
        <v>92973.75</v>
      </c>
      <c r="AG96" s="61">
        <v>0</v>
      </c>
      <c r="AH96" s="196"/>
      <c r="AI96" s="196"/>
      <c r="AQ96" s="33">
        <f>SUM(Projects[[#This Row],[2024 Actual]],Projects[[#This Row],[2025 Actual ]])</f>
        <v>0</v>
      </c>
      <c r="AS96" s="173">
        <f>IF(Projects[[#This Row],[WRP Funding Allocated USD]]=0,"-",Projects[[#This Row],[Actual Spend USD]]/Projects[[#This Row],[WRP Funding Allocated USD]])</f>
        <v>0</v>
      </c>
      <c r="AY96" s="150" t="e">
        <f>Projects[[#This Row],[No. Action Completed]]/Projects[[#This Row],[No. Actions Identified]]</f>
        <v>#DIV/0!</v>
      </c>
      <c r="BC96" s="15"/>
      <c r="BD96" s="15"/>
      <c r="BE96" s="17" t="s">
        <v>235</v>
      </c>
      <c r="BF96" s="17" t="s">
        <v>235</v>
      </c>
      <c r="BG96" s="38">
        <v>0.2</v>
      </c>
      <c r="BH96" s="38">
        <v>0.2</v>
      </c>
      <c r="BI96" s="64" t="s">
        <v>221</v>
      </c>
      <c r="BJ96" s="64" t="s">
        <v>221</v>
      </c>
      <c r="BK96" s="151" t="s">
        <v>402</v>
      </c>
      <c r="BL96" s="151" t="s">
        <v>483</v>
      </c>
    </row>
    <row r="97" spans="1:64" ht="40.5" customHeight="1">
      <c r="A97" s="32">
        <f>INDEX('Implementation Plan V2 Sep25'!A:A,MATCH(E97,'Implementation Plan V2 Sep25'!F:F,0))</f>
        <v>2</v>
      </c>
      <c r="B97" s="33" t="str">
        <f>INDEX('Implementation Plan V2 Sep25'!C:C,MATCH(E97,'Implementation Plan V2 Sep25'!F:F,0))</f>
        <v>OP2.3 Continuous learning and mentoring opportunities provided</v>
      </c>
      <c r="C97" s="33" t="str">
        <f>INDEX('Implementation Plan V2 Sep25'!E:E,MATCH(E97,'Implementation Plan V2 Sep25'!F:F,0))</f>
        <v>2.3.1</v>
      </c>
      <c r="D97" s="33">
        <f>INDEX('Implementation Plan V2 Sep25'!D:D,MATCH(E97,'Implementation Plan V2 Sep25'!F:F,0))</f>
        <v>28</v>
      </c>
      <c r="E97" s="2" t="s">
        <v>62</v>
      </c>
      <c r="F97" s="2" t="s">
        <v>484</v>
      </c>
      <c r="G97" s="2"/>
      <c r="H97" s="11"/>
      <c r="J97" s="2" t="str">
        <f>IF(OR(ISBLANK(Projects[[#This Row],[Task]]),Projects[[#This Row],[Task]]=0),"",CONCATENATE(Projects[[#This Row],[Phase]],Projects[[#This Row],[Task]]))</f>
        <v/>
      </c>
      <c r="K97" s="2" t="s">
        <v>310</v>
      </c>
      <c r="L97" s="2" t="s">
        <v>280</v>
      </c>
      <c r="S97" s="13"/>
      <c r="T97" s="2" t="s">
        <v>485</v>
      </c>
      <c r="V97" s="40">
        <f t="shared" si="5"/>
        <v>0</v>
      </c>
      <c r="W97" s="2" t="s">
        <v>248</v>
      </c>
      <c r="X97" s="19" t="s">
        <v>393</v>
      </c>
      <c r="Y97" s="19"/>
      <c r="AA97" s="40">
        <f t="shared" si="4"/>
        <v>0</v>
      </c>
      <c r="AB97" s="40" t="str">
        <f>IFERROR(INDEX(#REF!,MATCH(#REF!,#REF!,0)),"")</f>
        <v/>
      </c>
      <c r="AC97" s="40" t="str">
        <f>IFERROR(INDEX(#REF!,MATCH(#REF!,#REF!,0)),"")</f>
        <v/>
      </c>
      <c r="AD97" s="13"/>
      <c r="AE97" s="19"/>
      <c r="AF97" s="13"/>
      <c r="AG97" s="13"/>
      <c r="AQ97" s="33">
        <f>SUM(Projects[[#This Row],[2024 Actual]],Projects[[#This Row],[2025 Actual ]])</f>
        <v>0</v>
      </c>
      <c r="AS97" s="173" t="str">
        <f>IF(Projects[[#This Row],[WRP Funding Allocated USD]]=0,"-",Projects[[#This Row],[Actual Spend USD]]/Projects[[#This Row],[WRP Funding Allocated USD]])</f>
        <v>-</v>
      </c>
      <c r="AY97" s="150" t="e">
        <f>Projects[[#This Row],[No. Action Completed]]/Projects[[#This Row],[No. Actions Identified]]</f>
        <v>#DIV/0!</v>
      </c>
      <c r="BC97" s="15"/>
      <c r="BD97" s="15"/>
      <c r="BE97" s="17"/>
      <c r="BF97" s="17"/>
      <c r="BG97" s="38" t="s">
        <v>119</v>
      </c>
      <c r="BH97" s="38" t="s">
        <v>119</v>
      </c>
      <c r="BI97" s="64" t="s">
        <v>119</v>
      </c>
      <c r="BJ97" s="64" t="s">
        <v>119</v>
      </c>
      <c r="BK97" s="18"/>
      <c r="BL97" s="18" t="s">
        <v>119</v>
      </c>
    </row>
    <row r="98" spans="1:64" ht="40.5" customHeight="1">
      <c r="A98" s="32">
        <f>INDEX('Implementation Plan V2 Sep25'!A:A,MATCH(E98,'Implementation Plan V2 Sep25'!F:F,0))</f>
        <v>2</v>
      </c>
      <c r="B98" s="33" t="str">
        <f>INDEX('Implementation Plan V2 Sep25'!C:C,MATCH(E98,'Implementation Plan V2 Sep25'!F:F,0))</f>
        <v>OP2.3 Continuous learning and mentoring opportunities provided</v>
      </c>
      <c r="C98" s="33" t="str">
        <f>INDEX('Implementation Plan V2 Sep25'!E:E,MATCH(E98,'Implementation Plan V2 Sep25'!F:F,0))</f>
        <v>2.3.1</v>
      </c>
      <c r="D98" s="33">
        <f>INDEX('Implementation Plan V2 Sep25'!D:D,MATCH(E98,'Implementation Plan V2 Sep25'!F:F,0))</f>
        <v>28</v>
      </c>
      <c r="E98" s="2" t="s">
        <v>62</v>
      </c>
      <c r="F98" s="2" t="s">
        <v>486</v>
      </c>
      <c r="G98" s="2"/>
      <c r="H98" s="11"/>
      <c r="J98" s="2" t="str">
        <f>IF(OR(ISBLANK(Projects[[#This Row],[Task]]),Projects[[#This Row],[Task]]=0),"",CONCATENATE(Projects[[#This Row],[Phase]],Projects[[#This Row],[Task]]))</f>
        <v/>
      </c>
      <c r="K98" s="2" t="s">
        <v>310</v>
      </c>
      <c r="L98" s="2" t="s">
        <v>280</v>
      </c>
      <c r="S98" s="13"/>
      <c r="T98" s="2" t="s">
        <v>311</v>
      </c>
      <c r="V98" s="40">
        <f t="shared" si="5"/>
        <v>0</v>
      </c>
      <c r="W98" s="2" t="s">
        <v>248</v>
      </c>
      <c r="X98" s="19" t="s">
        <v>393</v>
      </c>
      <c r="Y98" s="19"/>
      <c r="AA98" s="40">
        <f t="shared" ref="AA98:AA125" si="6">SUM(AD98:AM98)</f>
        <v>0</v>
      </c>
      <c r="AB98" s="40" t="str">
        <f>IFERROR(INDEX(#REF!,MATCH(#REF!,#REF!,0)),"")</f>
        <v/>
      </c>
      <c r="AC98" s="40" t="str">
        <f>IFERROR(INDEX(#REF!,MATCH(#REF!,#REF!,0)),"")</f>
        <v/>
      </c>
      <c r="AD98" s="13"/>
      <c r="AE98" s="19"/>
      <c r="AF98" s="13"/>
      <c r="AG98" s="13"/>
      <c r="AQ98" s="33">
        <f>SUM(Projects[[#This Row],[2024 Actual]],Projects[[#This Row],[2025 Actual ]])</f>
        <v>0</v>
      </c>
      <c r="AS98" s="173" t="str">
        <f>IF(Projects[[#This Row],[WRP Funding Allocated USD]]=0,"-",Projects[[#This Row],[Actual Spend USD]]/Projects[[#This Row],[WRP Funding Allocated USD]])</f>
        <v>-</v>
      </c>
      <c r="AY98" s="150" t="e">
        <f>Projects[[#This Row],[No. Action Completed]]/Projects[[#This Row],[No. Actions Identified]]</f>
        <v>#DIV/0!</v>
      </c>
      <c r="BC98" s="15"/>
      <c r="BD98" s="15"/>
      <c r="BE98" s="17"/>
      <c r="BF98" s="17"/>
      <c r="BG98" s="38" t="s">
        <v>119</v>
      </c>
      <c r="BH98" s="38" t="s">
        <v>119</v>
      </c>
      <c r="BI98" s="64" t="s">
        <v>119</v>
      </c>
      <c r="BJ98" s="64" t="s">
        <v>119</v>
      </c>
      <c r="BK98" s="18"/>
      <c r="BL98" s="18" t="s">
        <v>119</v>
      </c>
    </row>
    <row r="99" spans="1:64" ht="40.5" customHeight="1">
      <c r="A99" s="32">
        <f>INDEX('Implementation Plan V2 Sep25'!A:A,MATCH(E99,'Implementation Plan V2 Sep25'!F:F,0))</f>
        <v>3</v>
      </c>
      <c r="B99" s="33" t="str">
        <f>INDEX('Implementation Plan V2 Sep25'!C:C,MATCH(E99,'Implementation Plan V2 Sep25'!F:F,0))</f>
        <v>Output 3.1 Interoperable, affordable and resilient observation network progressively remediated, expanded and sustained</v>
      </c>
      <c r="C99" s="33" t="str">
        <f>INDEX('Implementation Plan V2 Sep25'!E:E,MATCH(E99,'Implementation Plan V2 Sep25'!F:F,0))</f>
        <v>3.1.7</v>
      </c>
      <c r="D99" s="33">
        <f>INDEX('Implementation Plan V2 Sep25'!D:D,MATCH(E99,'Implementation Plan V2 Sep25'!F:F,0))</f>
        <v>75</v>
      </c>
      <c r="E99" s="28" t="s">
        <v>89</v>
      </c>
      <c r="F99" s="28" t="s">
        <v>487</v>
      </c>
      <c r="G99" s="28"/>
      <c r="H99" s="11"/>
      <c r="J99" s="2" t="str">
        <f>IF(OR(ISBLANK(Projects[[#This Row],[Task]]),Projects[[#This Row],[Task]]=0),"",CONCATENATE(Projects[[#This Row],[Phase]],Projects[[#This Row],[Task]]))</f>
        <v/>
      </c>
      <c r="K99" s="2" t="s">
        <v>310</v>
      </c>
      <c r="L99" s="2" t="s">
        <v>12</v>
      </c>
      <c r="S99" s="13"/>
      <c r="V99" s="40">
        <f t="shared" si="5"/>
        <v>0</v>
      </c>
      <c r="W99" s="2" t="s">
        <v>392</v>
      </c>
      <c r="X99" s="19" t="s">
        <v>393</v>
      </c>
      <c r="Y99" s="19"/>
      <c r="AA99" s="40">
        <f t="shared" si="6"/>
        <v>0</v>
      </c>
      <c r="AB99" s="40" t="str">
        <f>IFERROR(INDEX(#REF!,MATCH(#REF!,#REF!,0)),"")</f>
        <v/>
      </c>
      <c r="AC99" s="40" t="str">
        <f>IFERROR(INDEX(#REF!,MATCH(#REF!,#REF!,0)),"")</f>
        <v/>
      </c>
      <c r="AD99" s="13"/>
      <c r="AE99" s="13"/>
      <c r="AF99" s="13"/>
      <c r="AG99" s="13"/>
      <c r="AQ99" s="33">
        <f>SUM(Projects[[#This Row],[2024 Actual]],Projects[[#This Row],[2025 Actual ]])</f>
        <v>0</v>
      </c>
      <c r="AS99" s="173" t="str">
        <f>IF(Projects[[#This Row],[WRP Funding Allocated USD]]=0,"-",Projects[[#This Row],[Actual Spend USD]]/Projects[[#This Row],[WRP Funding Allocated USD]])</f>
        <v>-</v>
      </c>
      <c r="AY99" s="150" t="e">
        <f>Projects[[#This Row],[No. Action Completed]]/Projects[[#This Row],[No. Actions Identified]]</f>
        <v>#DIV/0!</v>
      </c>
      <c r="BC99" s="15"/>
      <c r="BD99" s="15"/>
      <c r="BE99" s="17"/>
      <c r="BF99" s="17"/>
      <c r="BG99" s="38" t="s">
        <v>119</v>
      </c>
      <c r="BH99" s="38" t="s">
        <v>119</v>
      </c>
      <c r="BI99" s="64" t="s">
        <v>119</v>
      </c>
      <c r="BJ99" s="64" t="s">
        <v>119</v>
      </c>
      <c r="BK99" s="18" t="s">
        <v>242</v>
      </c>
      <c r="BL99" s="18" t="s">
        <v>119</v>
      </c>
    </row>
    <row r="100" spans="1:64" ht="40.5" customHeight="1">
      <c r="A100" s="32">
        <f>INDEX('Implementation Plan V2 Sep25'!A:A,MATCH(E100,'Implementation Plan V2 Sep25'!F:F,0))</f>
        <v>4</v>
      </c>
      <c r="B100" s="33" t="str">
        <f>INDEX('Implementation Plan V2 Sep25'!C:C,MATCH(E100,'Implementation Plan V2 Sep25'!F:F,0))</f>
        <v>OP4.2 Pacific forecasting capacity expanded and maintained</v>
      </c>
      <c r="C100" s="33" t="str">
        <f>INDEX('Implementation Plan V2 Sep25'!E:E,MATCH(E100,'Implementation Plan V2 Sep25'!F:F,0))</f>
        <v>4.2.5</v>
      </c>
      <c r="D100" s="33">
        <f>INDEX('Implementation Plan V2 Sep25'!D:D,MATCH(E100,'Implementation Plan V2 Sep25'!F:F,0))</f>
        <v>46</v>
      </c>
      <c r="E100" s="2" t="s">
        <v>115</v>
      </c>
      <c r="F100" s="2" t="s">
        <v>488</v>
      </c>
      <c r="G100" s="2"/>
      <c r="H100" s="11"/>
      <c r="J100" s="2" t="str">
        <f>IF(OR(ISBLANK(Projects[[#This Row],[Task]]),Projects[[#This Row],[Task]]=0),"",CONCATENATE(Projects[[#This Row],[Phase]],Projects[[#This Row],[Task]]))</f>
        <v/>
      </c>
      <c r="K100" s="2" t="s">
        <v>310</v>
      </c>
      <c r="L100" s="2" t="s">
        <v>400</v>
      </c>
      <c r="S100" s="13"/>
      <c r="T100" s="2" t="s">
        <v>119</v>
      </c>
      <c r="U100" s="2" t="s">
        <v>217</v>
      </c>
      <c r="V100" s="40">
        <f>SUM(X100,AA100)</f>
        <v>347102</v>
      </c>
      <c r="W100" s="15" t="s">
        <v>489</v>
      </c>
      <c r="X100" s="17">
        <f>560000*0.619825</f>
        <v>347102</v>
      </c>
      <c r="Y100" s="17"/>
      <c r="Z100" s="2" t="s">
        <v>248</v>
      </c>
      <c r="AA100" s="40">
        <f t="shared" si="6"/>
        <v>0</v>
      </c>
      <c r="AB100" s="40" t="str">
        <f>IFERROR(INDEX(#REF!,MATCH(#REF!,#REF!,0)),"")</f>
        <v/>
      </c>
      <c r="AC100" s="40" t="str">
        <f>IFERROR(INDEX(#REF!,MATCH(#REF!,#REF!,0)),"")</f>
        <v/>
      </c>
      <c r="AD100" s="13"/>
      <c r="AE100" s="13"/>
      <c r="AF100" s="196"/>
      <c r="AG100" s="196"/>
      <c r="AH100" s="196"/>
      <c r="AI100" s="196"/>
      <c r="AQ100" s="33">
        <f>SUM(Projects[[#This Row],[2024 Actual]],Projects[[#This Row],[2025 Actual ]])</f>
        <v>0</v>
      </c>
      <c r="AS100" s="173" t="str">
        <f>IF(Projects[[#This Row],[WRP Funding Allocated USD]]=0,"-",Projects[[#This Row],[Actual Spend USD]]/Projects[[#This Row],[WRP Funding Allocated USD]])</f>
        <v>-</v>
      </c>
      <c r="AY100" s="150" t="e">
        <f>Projects[[#This Row],[No. Action Completed]]/Projects[[#This Row],[No. Actions Identified]]</f>
        <v>#DIV/0!</v>
      </c>
      <c r="BC100" s="15"/>
      <c r="BD100" s="15"/>
      <c r="BE100" s="17" t="s">
        <v>490</v>
      </c>
      <c r="BF100" s="17" t="s">
        <v>490</v>
      </c>
      <c r="BG100" s="38" t="s">
        <v>119</v>
      </c>
      <c r="BH100" s="38" t="s">
        <v>119</v>
      </c>
      <c r="BI100" s="64" t="s">
        <v>119</v>
      </c>
      <c r="BJ100" s="64" t="s">
        <v>119</v>
      </c>
      <c r="BK100" s="17"/>
      <c r="BL100" s="17" t="s">
        <v>491</v>
      </c>
    </row>
    <row r="101" spans="1:64" ht="54" customHeight="1">
      <c r="A101" s="32">
        <f>INDEX('Implementation Plan V2 Sep25'!A:A,MATCH(E101,'Implementation Plan V2 Sep25'!F:F,0))</f>
        <v>5</v>
      </c>
      <c r="B101" s="33" t="str">
        <f>INDEX('Implementation Plan V2 Sep25'!C:C,MATCH(E101,'Implementation Plan V2 Sep25'!F:F,0))</f>
        <v>Output 5.1 Pacific capacity and collaborative approaches to deliver locally-relevant, impact-based, inclusive and accessible forecasts and warnings for end users strengthened and sustained</v>
      </c>
      <c r="C101" s="33" t="str">
        <f>INDEX('Implementation Plan V2 Sep25'!E:E,MATCH(E101,'Implementation Plan V2 Sep25'!F:F,0))</f>
        <v>5.1.2</v>
      </c>
      <c r="D101" s="33">
        <f>INDEX('Implementation Plan V2 Sep25'!D:D,MATCH(E101,'Implementation Plan V2 Sep25'!F:F,0))</f>
        <v>52</v>
      </c>
      <c r="E101" s="28" t="s">
        <v>127</v>
      </c>
      <c r="F101" s="28" t="s">
        <v>492</v>
      </c>
      <c r="G101" s="28"/>
      <c r="H101" s="11"/>
      <c r="J101" s="2" t="str">
        <f>IF(OR(ISBLANK(Projects[[#This Row],[Task]]),Projects[[#This Row],[Task]]=0),"",CONCATENATE(Projects[[#This Row],[Phase]],Projects[[#This Row],[Task]]))</f>
        <v/>
      </c>
      <c r="K101" s="2" t="s">
        <v>310</v>
      </c>
      <c r="L101" s="2" t="s">
        <v>12</v>
      </c>
      <c r="S101" s="13"/>
      <c r="V101" s="40">
        <f t="shared" si="5"/>
        <v>0</v>
      </c>
      <c r="W101" s="2" t="s">
        <v>392</v>
      </c>
      <c r="X101" s="19" t="s">
        <v>393</v>
      </c>
      <c r="Y101" s="19"/>
      <c r="AA101" s="40">
        <f t="shared" si="6"/>
        <v>0</v>
      </c>
      <c r="AB101" s="40" t="str">
        <f>IFERROR(INDEX(#REF!,MATCH(#REF!,#REF!,0)),"")</f>
        <v/>
      </c>
      <c r="AC101" s="40" t="str">
        <f>IFERROR(INDEX(#REF!,MATCH(#REF!,#REF!,0)),"")</f>
        <v/>
      </c>
      <c r="AD101" s="13"/>
      <c r="AE101" s="13"/>
      <c r="AF101" s="13"/>
      <c r="AG101" s="13"/>
      <c r="AQ101" s="33">
        <f>SUM(Projects[[#This Row],[2024 Actual]],Projects[[#This Row],[2025 Actual ]])</f>
        <v>0</v>
      </c>
      <c r="AS101" s="173" t="str">
        <f>IF(Projects[[#This Row],[WRP Funding Allocated USD]]=0,"-",Projects[[#This Row],[Actual Spend USD]]/Projects[[#This Row],[WRP Funding Allocated USD]])</f>
        <v>-</v>
      </c>
      <c r="AY101" s="150" t="e">
        <f>Projects[[#This Row],[No. Action Completed]]/Projects[[#This Row],[No. Actions Identified]]</f>
        <v>#DIV/0!</v>
      </c>
      <c r="BC101" s="15"/>
      <c r="BD101" s="15"/>
      <c r="BE101" s="17"/>
      <c r="BF101" s="17"/>
      <c r="BG101" s="38" t="s">
        <v>119</v>
      </c>
      <c r="BH101" s="38" t="s">
        <v>119</v>
      </c>
      <c r="BI101" s="64" t="s">
        <v>119</v>
      </c>
      <c r="BJ101" s="64" t="s">
        <v>119</v>
      </c>
      <c r="BK101" s="18" t="s">
        <v>242</v>
      </c>
      <c r="BL101" s="18" t="s">
        <v>119</v>
      </c>
    </row>
    <row r="102" spans="1:64" ht="40.5" customHeight="1">
      <c r="A102" s="32">
        <f>INDEX('Implementation Plan V2 Sep25'!A:A,MATCH(E102,'Implementation Plan V2 Sep25'!F:F,0))</f>
        <v>1</v>
      </c>
      <c r="B102" s="33" t="str">
        <f>INDEX('Implementation Plan V2 Sep25'!C:C,MATCH(E102,'Implementation Plan V2 Sep25'!F:F,0))</f>
        <v>Output 1.2 Sustainable hydrometerological financing facility and resource mobilisation approach established and operational</v>
      </c>
      <c r="C102" s="33" t="str">
        <f>INDEX('Implementation Plan V2 Sep25'!E:E,MATCH(E102,'Implementation Plan V2 Sep25'!F:F,0))</f>
        <v>1.2.1</v>
      </c>
      <c r="D102" s="33">
        <f>INDEX('Implementation Plan V2 Sep25'!D:D,MATCH(E102,'Implementation Plan V2 Sep25'!F:F,0))</f>
        <v>17</v>
      </c>
      <c r="E102" s="2" t="s">
        <v>34</v>
      </c>
      <c r="F102" s="2" t="s">
        <v>493</v>
      </c>
      <c r="G102" s="2">
        <f>Projects[[#This Row],[Activity Ref]]</f>
        <v>17</v>
      </c>
      <c r="H102" s="45" t="s">
        <v>285</v>
      </c>
      <c r="I102" s="2">
        <v>2513</v>
      </c>
      <c r="J102" s="2" t="str">
        <f>IF(OR(ISBLANK(Projects[[#This Row],[Task]]),Projects[[#This Row],[Task]]=0),"",CONCATENATE(Projects[[#This Row],[Phase]],Projects[[#This Row],[Task]]))</f>
        <v>1702</v>
      </c>
      <c r="K102" s="2" t="s">
        <v>214</v>
      </c>
      <c r="L102" s="2" t="s">
        <v>229</v>
      </c>
      <c r="O102" s="2" t="s">
        <v>230</v>
      </c>
      <c r="S102" s="13"/>
      <c r="T102" s="2" t="s">
        <v>216</v>
      </c>
      <c r="U102" s="2" t="s">
        <v>232</v>
      </c>
      <c r="V102" s="40">
        <f t="shared" si="5"/>
        <v>100000</v>
      </c>
      <c r="W102" s="2"/>
      <c r="X102" s="17"/>
      <c r="Y102" s="17"/>
      <c r="Z102" s="2" t="s">
        <v>248</v>
      </c>
      <c r="AA102" s="40">
        <f t="shared" si="6"/>
        <v>100000</v>
      </c>
      <c r="AB102" s="40" t="str">
        <f>IFERROR(INDEX(#REF!,MATCH(#REF!,#REF!,0)),"")</f>
        <v/>
      </c>
      <c r="AC102" s="40" t="str">
        <f>IFERROR(INDEX(#REF!,MATCH(#REF!,#REF!,0)),"")</f>
        <v/>
      </c>
      <c r="AD102" s="13"/>
      <c r="AE102" s="19"/>
      <c r="AF102" s="237">
        <v>50000</v>
      </c>
      <c r="AG102" s="237">
        <v>50000</v>
      </c>
      <c r="AQ102" s="33">
        <f>SUM(Projects[[#This Row],[2024 Actual]],Projects[[#This Row],[2025 Actual ]])</f>
        <v>0</v>
      </c>
      <c r="AS102" s="173">
        <f>IF(Projects[[#This Row],[WRP Funding Allocated USD]]=0,"-",Projects[[#This Row],[Actual Spend USD]]/Projects[[#This Row],[WRP Funding Allocated USD]])</f>
        <v>0</v>
      </c>
      <c r="AY102" s="150" t="e">
        <f>Projects[[#This Row],[No. Action Completed]]/Projects[[#This Row],[No. Actions Identified]]</f>
        <v>#DIV/0!</v>
      </c>
      <c r="BC102" s="15"/>
      <c r="BD102" s="15"/>
      <c r="BE102" s="17" t="s">
        <v>249</v>
      </c>
      <c r="BF102" s="17" t="s">
        <v>249</v>
      </c>
      <c r="BG102" s="38" t="s">
        <v>119</v>
      </c>
      <c r="BH102" s="38" t="s">
        <v>119</v>
      </c>
      <c r="BI102" s="64" t="s">
        <v>119</v>
      </c>
      <c r="BJ102" s="64" t="s">
        <v>119</v>
      </c>
      <c r="BK102" s="18" t="s">
        <v>242</v>
      </c>
      <c r="BL102" s="18" t="s">
        <v>119</v>
      </c>
    </row>
    <row r="103" spans="1:64" ht="55.5" customHeight="1">
      <c r="A103" s="32">
        <f>INDEX('Implementation Plan V2 Sep25'!A:A,MATCH(E103,'Implementation Plan V2 Sep25'!F:F,0))</f>
        <v>4</v>
      </c>
      <c r="B103" s="33" t="str">
        <f>INDEX('Implementation Plan V2 Sep25'!C:C,MATCH(E103,'Implementation Plan V2 Sep25'!F:F,0))</f>
        <v>OP4.2 Pacific forecasting capacity expanded and maintained</v>
      </c>
      <c r="C103" s="33" t="str">
        <f>INDEX('Implementation Plan V2 Sep25'!E:E,MATCH(E103,'Implementation Plan V2 Sep25'!F:F,0))</f>
        <v>4.2.6</v>
      </c>
      <c r="D103" s="33">
        <f>INDEX('Implementation Plan V2 Sep25'!D:D,MATCH(E103,'Implementation Plan V2 Sep25'!F:F,0))</f>
        <v>47</v>
      </c>
      <c r="E103" s="2" t="s">
        <v>118</v>
      </c>
      <c r="F103" s="2" t="s">
        <v>494</v>
      </c>
      <c r="G103" s="2">
        <f>Projects[[#This Row],[Activity Ref]]</f>
        <v>47</v>
      </c>
      <c r="H103" s="45" t="s">
        <v>245</v>
      </c>
      <c r="I103" s="55">
        <v>2503</v>
      </c>
      <c r="J103" s="55" t="str">
        <f>IF(OR(ISBLANK(Projects[[#This Row],[Task]]),Projects[[#This Row],[Task]]=0),"",CONCATENATE(Projects[[#This Row],[Phase]],Projects[[#This Row],[Task]]))</f>
        <v>4701</v>
      </c>
      <c r="K103" s="2" t="s">
        <v>214</v>
      </c>
      <c r="L103" s="2" t="s">
        <v>495</v>
      </c>
      <c r="O103" s="2" t="s">
        <v>251</v>
      </c>
      <c r="Q103" s="2">
        <v>2025</v>
      </c>
      <c r="R103" s="2" t="s">
        <v>496</v>
      </c>
      <c r="S103" s="13">
        <f>Projects[[#This Row],[2026 Budget]]</f>
        <v>170000</v>
      </c>
      <c r="T103" s="2" t="s">
        <v>495</v>
      </c>
      <c r="U103" s="2" t="s">
        <v>232</v>
      </c>
      <c r="V103" s="40">
        <f t="shared" si="5"/>
        <v>693263.1</v>
      </c>
      <c r="W103" s="15"/>
      <c r="X103" s="17"/>
      <c r="Y103" s="17"/>
      <c r="Z103" s="2" t="s">
        <v>248</v>
      </c>
      <c r="AA103" s="40">
        <f t="shared" si="6"/>
        <v>693263.1</v>
      </c>
      <c r="AB103" s="40" t="str">
        <f>IFERROR(INDEX(#REF!,MATCH(#REF!,#REF!,0)),"")</f>
        <v/>
      </c>
      <c r="AC103" s="40" t="str">
        <f>IFERROR(INDEX(#REF!,MATCH(#REF!,#REF!,0)),"")</f>
        <v/>
      </c>
      <c r="AD103" s="13"/>
      <c r="AE103" s="19">
        <v>13263.1</v>
      </c>
      <c r="AF103" s="196">
        <v>170000</v>
      </c>
      <c r="AG103" s="196">
        <v>170000</v>
      </c>
      <c r="AH103" s="196">
        <v>170000</v>
      </c>
      <c r="AI103" s="196">
        <v>170000</v>
      </c>
      <c r="AP103" s="13">
        <f>Projects[[#This Row],[2025]]</f>
        <v>13263.1</v>
      </c>
      <c r="AQ103" s="33">
        <f>SUM(Projects[[#This Row],[2024 Actual]],Projects[[#This Row],[2025 Actual ]])</f>
        <v>13263.1</v>
      </c>
      <c r="AS103" s="173">
        <f>IF(Projects[[#This Row],[WRP Funding Allocated USD]]=0,"-",Projects[[#This Row],[Actual Spend USD]]/Projects[[#This Row],[WRP Funding Allocated USD]])</f>
        <v>1.913140912879973E-2</v>
      </c>
      <c r="AY103" s="150" t="e">
        <f>Projects[[#This Row],[No. Action Completed]]/Projects[[#This Row],[No. Actions Identified]]</f>
        <v>#DIV/0!</v>
      </c>
      <c r="BC103" s="15"/>
      <c r="BD103" s="15"/>
      <c r="BE103" s="17" t="s">
        <v>235</v>
      </c>
      <c r="BF103" s="17" t="s">
        <v>235</v>
      </c>
      <c r="BG103" s="38">
        <v>0.4</v>
      </c>
      <c r="BH103" s="38">
        <v>0.4</v>
      </c>
      <c r="BI103" s="64" t="s">
        <v>221</v>
      </c>
      <c r="BJ103" s="64" t="s">
        <v>221</v>
      </c>
      <c r="BK103" s="151" t="s">
        <v>497</v>
      </c>
      <c r="BL103" s="151" t="s">
        <v>498</v>
      </c>
    </row>
    <row r="104" spans="1:64" ht="40.5" customHeight="1">
      <c r="A104" s="32">
        <f>INDEX('Implementation Plan V2 Sep25'!A:A,MATCH(E104,'Implementation Plan V2 Sep25'!F:F,0))</f>
        <v>3</v>
      </c>
      <c r="B104" s="33" t="str">
        <f>INDEX('Implementation Plan V2 Sep25'!C:C,MATCH(E104,'Implementation Plan V2 Sep25'!F:F,0))</f>
        <v>Output 3.1 Interoperable, affordable and resilient observation network progressively remediated, expanded and sustained</v>
      </c>
      <c r="C104" s="33" t="str">
        <f>INDEX('Implementation Plan V2 Sep25'!E:E,MATCH(E104,'Implementation Plan V2 Sep25'!F:F,0))</f>
        <v>3.1.3</v>
      </c>
      <c r="D104" s="33">
        <f>INDEX('Implementation Plan V2 Sep25'!D:D,MATCH(E104,'Implementation Plan V2 Sep25'!F:F,0))</f>
        <v>71</v>
      </c>
      <c r="E104" s="2" t="s">
        <v>78</v>
      </c>
      <c r="F104" s="2" t="s">
        <v>499</v>
      </c>
      <c r="G104" s="2"/>
      <c r="H104" s="11"/>
      <c r="J104" s="2" t="str">
        <f>IF(OR(ISBLANK(Projects[[#This Row],[Task]]),Projects[[#This Row],[Task]]=0),"",CONCATENATE(Projects[[#This Row],[Phase]],Projects[[#This Row],[Task]]))</f>
        <v/>
      </c>
      <c r="K104" s="2" t="s">
        <v>310</v>
      </c>
      <c r="L104" s="2" t="s">
        <v>500</v>
      </c>
      <c r="S104" s="13"/>
      <c r="V104" s="40">
        <f t="shared" si="5"/>
        <v>0</v>
      </c>
      <c r="W104" s="2" t="s">
        <v>500</v>
      </c>
      <c r="X104" s="19" t="s">
        <v>393</v>
      </c>
      <c r="Y104" s="19"/>
      <c r="AA104" s="40">
        <f t="shared" si="6"/>
        <v>0</v>
      </c>
      <c r="AB104" s="40" t="str">
        <f>IFERROR(INDEX(#REF!,MATCH(#REF!,#REF!,0)),"")</f>
        <v/>
      </c>
      <c r="AC104" s="40" t="str">
        <f>IFERROR(INDEX(#REF!,MATCH(#REF!,#REF!,0)),"")</f>
        <v/>
      </c>
      <c r="AD104" s="13"/>
      <c r="AE104" s="13"/>
      <c r="AF104" s="13"/>
      <c r="AG104" s="13"/>
      <c r="AQ104" s="40">
        <f>SUM(Projects[[#This Row],[2024 Actual]],Projects[[#This Row],[2025 Actual ]])</f>
        <v>0</v>
      </c>
      <c r="AR104" s="40"/>
      <c r="AS104" s="173" t="str">
        <f>IF(Projects[[#This Row],[WRP Funding Allocated USD]]=0,"-",Projects[[#This Row],[Actual Spend USD]]/Projects[[#This Row],[WRP Funding Allocated USD]])</f>
        <v>-</v>
      </c>
      <c r="AY104" s="150" t="e">
        <f>Projects[[#This Row],[No. Action Completed]]/Projects[[#This Row],[No. Actions Identified]]</f>
        <v>#DIV/0!</v>
      </c>
      <c r="BC104" s="15"/>
      <c r="BD104" s="15"/>
      <c r="BE104" s="17"/>
      <c r="BF104" s="17"/>
      <c r="BG104" s="38" t="s">
        <v>119</v>
      </c>
      <c r="BH104" s="38" t="s">
        <v>119</v>
      </c>
      <c r="BI104" s="64" t="s">
        <v>119</v>
      </c>
      <c r="BJ104" s="64" t="s">
        <v>119</v>
      </c>
      <c r="BK104" s="17" t="s">
        <v>242</v>
      </c>
      <c r="BL104" s="17" t="s">
        <v>119</v>
      </c>
    </row>
    <row r="105" spans="1:64" ht="54.75" customHeight="1">
      <c r="A105" s="32">
        <f>INDEX('Implementation Plan V2 Sep25'!A:A,MATCH(E105,'Implementation Plan V2 Sep25'!F:F,0))</f>
        <v>5</v>
      </c>
      <c r="B105" s="33" t="str">
        <f>INDEX('Implementation Plan V2 Sep25'!C:C,MATCH(E105,'Implementation Plan V2 Sep25'!F:F,0))</f>
        <v>Output 5.1 Pacific capacity and collaborative approaches to deliver locally-relevant, impact-based, inclusive and accessible forecasts and warnings for end users strengthened and sustained</v>
      </c>
      <c r="C105" s="33" t="str">
        <f>INDEX('Implementation Plan V2 Sep25'!E:E,MATCH(E105,'Implementation Plan V2 Sep25'!F:F,0))</f>
        <v>5.1.6</v>
      </c>
      <c r="D105" s="33">
        <f>INDEX('Implementation Plan V2 Sep25'!D:D,MATCH(E105,'Implementation Plan V2 Sep25'!F:F,0))</f>
        <v>56</v>
      </c>
      <c r="E105" s="2" t="s">
        <v>139</v>
      </c>
      <c r="F105" s="2" t="s">
        <v>407</v>
      </c>
      <c r="G105" s="2">
        <f>Projects[[#This Row],[Activity Ref]]</f>
        <v>56</v>
      </c>
      <c r="H105" s="45" t="s">
        <v>245</v>
      </c>
      <c r="J105" s="2" t="str">
        <f>IF(OR(ISBLANK(Projects[[#This Row],[Task]]),Projects[[#This Row],[Task]]=0),"",CONCATENATE(Projects[[#This Row],[Phase]],Projects[[#This Row],[Task]]))</f>
        <v>5601</v>
      </c>
      <c r="K105" s="2" t="s">
        <v>224</v>
      </c>
      <c r="L105" s="7" t="s">
        <v>229</v>
      </c>
      <c r="M105" s="7"/>
      <c r="N105" s="7"/>
      <c r="O105" s="7" t="s">
        <v>292</v>
      </c>
      <c r="P105" s="7"/>
      <c r="Q105" s="2">
        <v>2025</v>
      </c>
      <c r="R105" s="2" t="s">
        <v>501</v>
      </c>
      <c r="S105" s="13"/>
      <c r="T105" s="2" t="s">
        <v>119</v>
      </c>
      <c r="U105" s="2" t="s">
        <v>232</v>
      </c>
      <c r="V105" s="40">
        <f t="shared" si="5"/>
        <v>116793.990434783</v>
      </c>
      <c r="W105" s="15"/>
      <c r="X105" s="17"/>
      <c r="Y105" s="17"/>
      <c r="Z105" s="2" t="s">
        <v>233</v>
      </c>
      <c r="AA105" s="40">
        <f t="shared" si="6"/>
        <v>116793.990434783</v>
      </c>
      <c r="AB105" s="40" t="str">
        <f>IFERROR(INDEX(#REF!,MATCH(#REF!,#REF!,0)),"")</f>
        <v/>
      </c>
      <c r="AD105" s="13"/>
      <c r="AE105" s="19">
        <v>16793.990000000002</v>
      </c>
      <c r="AF105" s="13">
        <f>108139.130434783-8139.13</f>
        <v>100000.000434783</v>
      </c>
      <c r="AG105" s="13"/>
      <c r="AP105" s="13">
        <f>Projects[[#This Row],[2025]]</f>
        <v>16793.990000000002</v>
      </c>
      <c r="AQ105" s="33">
        <f>SUM(Projects[[#This Row],[2024 Actual]],Projects[[#This Row],[2025 Actual ]])</f>
        <v>16793.990000000002</v>
      </c>
      <c r="AS105" s="173">
        <f>IF(Projects[[#This Row],[WRP Funding Allocated USD]]=0,"-",Projects[[#This Row],[Actual Spend USD]]/Projects[[#This Row],[WRP Funding Allocated USD]])</f>
        <v>0.14379155928727047</v>
      </c>
      <c r="AY105" s="150" t="e">
        <f>Projects[[#This Row],[No. Action Completed]]/Projects[[#This Row],[No. Actions Identified]]</f>
        <v>#DIV/0!</v>
      </c>
      <c r="BC105" s="15"/>
      <c r="BD105" s="15"/>
      <c r="BE105" s="17" t="s">
        <v>297</v>
      </c>
      <c r="BF105" s="17" t="s">
        <v>297</v>
      </c>
      <c r="BG105" s="38">
        <v>0.1</v>
      </c>
      <c r="BH105" s="38">
        <v>0.1</v>
      </c>
      <c r="BI105" s="64" t="s">
        <v>221</v>
      </c>
      <c r="BJ105" s="64" t="s">
        <v>221</v>
      </c>
      <c r="BK105" s="151" t="s">
        <v>502</v>
      </c>
      <c r="BL105" s="151" t="s">
        <v>119</v>
      </c>
    </row>
    <row r="106" spans="1:64" ht="40.5" customHeight="1">
      <c r="A106" s="32">
        <f>INDEX('Implementation Plan V2 Sep25'!A:A,MATCH(E106,'Implementation Plan V2 Sep25'!F:F,0))</f>
        <v>1</v>
      </c>
      <c r="B106" s="33" t="str">
        <f>INDEX('Implementation Plan V2 Sep25'!C:C,MATCH(E106,'Implementation Plan V2 Sep25'!F:F,0))</f>
        <v>Output 1.1 WRP governance, management and financing mechanisms established, mandated and equipped to coordinate a Pacific-led, integrated, and sustainable programme</v>
      </c>
      <c r="C106" s="33" t="str">
        <f>INDEX('Implementation Plan V2 Sep25'!E:E,MATCH(E106,'Implementation Plan V2 Sep25'!F:F,0))</f>
        <v>1.1.3</v>
      </c>
      <c r="D106" s="33">
        <f>INDEX('Implementation Plan V2 Sep25'!D:D,MATCH(E106,'Implementation Plan V2 Sep25'!F:F,0))</f>
        <v>13</v>
      </c>
      <c r="E106" s="2" t="s">
        <v>22</v>
      </c>
      <c r="F106" s="2" t="s">
        <v>503</v>
      </c>
      <c r="G106" s="2">
        <f>Projects[[#This Row],[Activity Ref]]</f>
        <v>13</v>
      </c>
      <c r="H106" s="2"/>
      <c r="J106" s="2" t="str">
        <f>IF(OR(ISBLANK(Projects[[#This Row],[Task]]),Projects[[#This Row],[Task]]=0),"",CONCATENATE(Projects[[#This Row],[Phase]],Projects[[#This Row],[Task]]))</f>
        <v/>
      </c>
      <c r="K106" s="2" t="s">
        <v>214</v>
      </c>
      <c r="L106" s="2" t="s">
        <v>229</v>
      </c>
      <c r="O106" s="2" t="s">
        <v>230</v>
      </c>
      <c r="S106" s="13"/>
      <c r="T106" s="2" t="s">
        <v>216</v>
      </c>
      <c r="U106" s="2" t="s">
        <v>232</v>
      </c>
      <c r="V106" s="40">
        <f t="shared" si="5"/>
        <v>75000</v>
      </c>
      <c r="W106" s="2"/>
      <c r="X106" s="17"/>
      <c r="Y106" s="17"/>
      <c r="Z106" s="2" t="s">
        <v>248</v>
      </c>
      <c r="AA106" s="40">
        <f t="shared" si="6"/>
        <v>75000</v>
      </c>
      <c r="AB106" s="40" t="str">
        <f>IFERROR(INDEX(#REF!,MATCH(#REF!,#REF!,0)),"")</f>
        <v/>
      </c>
      <c r="AC106" s="40" t="str">
        <f>IFERROR(INDEX(#REF!,MATCH(#REF!,#REF!,0)),"")</f>
        <v/>
      </c>
      <c r="AD106" s="13"/>
      <c r="AE106" s="20"/>
      <c r="AF106" s="196"/>
      <c r="AG106" s="196">
        <v>75000</v>
      </c>
      <c r="AH106" s="196"/>
      <c r="AI106" s="196"/>
      <c r="AQ106" s="40">
        <f>SUM(Projects[[#This Row],[2024 Actual]],Projects[[#This Row],[2025 Actual ]])</f>
        <v>0</v>
      </c>
      <c r="AR106" s="40"/>
      <c r="AS106" s="173">
        <f>IF(Projects[[#This Row],[WRP Funding Allocated USD]]=0,"-",Projects[[#This Row],[Actual Spend USD]]/Projects[[#This Row],[WRP Funding Allocated USD]])</f>
        <v>0</v>
      </c>
      <c r="AY106" s="150" t="e">
        <f>Projects[[#This Row],[No. Action Completed]]/Projects[[#This Row],[No. Actions Identified]]</f>
        <v>#DIV/0!</v>
      </c>
      <c r="BC106" s="15"/>
      <c r="BD106" s="15"/>
      <c r="BE106" s="17" t="s">
        <v>249</v>
      </c>
      <c r="BF106" s="17" t="s">
        <v>249</v>
      </c>
      <c r="BG106" s="38">
        <v>0</v>
      </c>
      <c r="BH106" s="38">
        <v>0</v>
      </c>
      <c r="BI106" s="64" t="s">
        <v>119</v>
      </c>
      <c r="BJ106" s="64" t="s">
        <v>119</v>
      </c>
      <c r="BK106" s="17" t="s">
        <v>242</v>
      </c>
      <c r="BL106" s="17" t="s">
        <v>119</v>
      </c>
    </row>
    <row r="107" spans="1:64" ht="16.5" customHeight="1">
      <c r="A107" s="32">
        <f>INDEX('Implementation Plan V2 Sep25'!A:A,MATCH(E107,'Implementation Plan V2 Sep25'!F:F,0))</f>
        <v>1</v>
      </c>
      <c r="B107" s="33" t="str">
        <f>INDEX('Implementation Plan V2 Sep25'!C:C,MATCH(E107,'Implementation Plan V2 Sep25'!F:F,0))</f>
        <v>Output 1.1 WRP governance, management and financing mechanisms established, mandated and equipped to coordinate a Pacific-led, integrated, and sustainable programme</v>
      </c>
      <c r="C107" s="33" t="str">
        <f>INDEX('Implementation Plan V2 Sep25'!E:E,MATCH(E107,'Implementation Plan V2 Sep25'!F:F,0))</f>
        <v>1.1.3</v>
      </c>
      <c r="D107" s="33">
        <f>INDEX('Implementation Plan V2 Sep25'!D:D,MATCH(E107,'Implementation Plan V2 Sep25'!F:F,0))</f>
        <v>13</v>
      </c>
      <c r="E107" s="2" t="s">
        <v>22</v>
      </c>
      <c r="F107" s="2" t="s">
        <v>504</v>
      </c>
      <c r="G107" s="2">
        <f>Projects[[#This Row],[Activity Ref]]</f>
        <v>13</v>
      </c>
      <c r="H107" s="2"/>
      <c r="J107" s="2" t="str">
        <f>IF(OR(ISBLANK(Projects[[#This Row],[Task]]),Projects[[#This Row],[Task]]=0),"",CONCATENATE(Projects[[#This Row],[Phase]],Projects[[#This Row],[Task]]))</f>
        <v/>
      </c>
      <c r="K107" s="2" t="s">
        <v>214</v>
      </c>
      <c r="L107" s="2" t="s">
        <v>229</v>
      </c>
      <c r="O107" s="2" t="s">
        <v>230</v>
      </c>
      <c r="S107" s="13"/>
      <c r="T107" s="2" t="s">
        <v>216</v>
      </c>
      <c r="U107" s="2" t="s">
        <v>232</v>
      </c>
      <c r="V107" s="40">
        <f t="shared" si="5"/>
        <v>0</v>
      </c>
      <c r="W107" s="2"/>
      <c r="X107" s="17"/>
      <c r="Y107" s="17"/>
      <c r="Z107" s="2" t="s">
        <v>248</v>
      </c>
      <c r="AA107" s="40">
        <f t="shared" si="6"/>
        <v>0</v>
      </c>
      <c r="AB107" s="40" t="str">
        <f>IFERROR(INDEX(#REF!,MATCH(#REF!,#REF!,0)),"")</f>
        <v/>
      </c>
      <c r="AC107" s="40" t="str">
        <f>IFERROR(INDEX(#REF!,MATCH(#REF!,#REF!,0)),"")</f>
        <v/>
      </c>
      <c r="AD107" s="13"/>
      <c r="AE107" s="13"/>
      <c r="AF107" s="13"/>
      <c r="AG107" s="13"/>
      <c r="AQ107" s="40">
        <f>SUM(Projects[[#This Row],[2024 Actual]],Projects[[#This Row],[2025 Actual ]])</f>
        <v>0</v>
      </c>
      <c r="AR107" s="40"/>
      <c r="AS107" s="173" t="str">
        <f>IF(Projects[[#This Row],[WRP Funding Allocated USD]]=0,"-",Projects[[#This Row],[Actual Spend USD]]/Projects[[#This Row],[WRP Funding Allocated USD]])</f>
        <v>-</v>
      </c>
      <c r="AY107" s="150" t="e">
        <f>Projects[[#This Row],[No. Action Completed]]/Projects[[#This Row],[No. Actions Identified]]</f>
        <v>#DIV/0!</v>
      </c>
      <c r="BC107" s="15"/>
      <c r="BD107" s="15"/>
      <c r="BE107" s="17" t="s">
        <v>249</v>
      </c>
      <c r="BF107" s="17" t="s">
        <v>249</v>
      </c>
      <c r="BG107" s="38">
        <v>0</v>
      </c>
      <c r="BH107" s="38">
        <v>0</v>
      </c>
      <c r="BI107" s="64" t="s">
        <v>119</v>
      </c>
      <c r="BJ107" s="64" t="s">
        <v>119</v>
      </c>
      <c r="BK107" s="17" t="s">
        <v>242</v>
      </c>
      <c r="BL107" s="17" t="s">
        <v>119</v>
      </c>
    </row>
    <row r="108" spans="1:64" ht="17.25" customHeight="1">
      <c r="A108" s="32">
        <f>INDEX('Implementation Plan V2 Sep25'!A:A,MATCH(E108,'Implementation Plan V2 Sep25'!F:F,0))</f>
        <v>3</v>
      </c>
      <c r="B108" s="33" t="str">
        <f>INDEX('Implementation Plan V2 Sep25'!C:C,MATCH(E108,'Implementation Plan V2 Sep25'!F:F,0))</f>
        <v>Output 3.1 Interoperable, affordable and resilient observation network progressively remediated, expanded and sustained</v>
      </c>
      <c r="C108" s="33" t="str">
        <f>INDEX('Implementation Plan V2 Sep25'!E:E,MATCH(E108,'Implementation Plan V2 Sep25'!F:F,0))</f>
        <v>3.1.2</v>
      </c>
      <c r="D108" s="33">
        <f>INDEX('Implementation Plan V2 Sep25'!D:D,MATCH(E108,'Implementation Plan V2 Sep25'!F:F,0))</f>
        <v>33</v>
      </c>
      <c r="E108" s="2" t="s">
        <v>75</v>
      </c>
      <c r="F108" s="2" t="s">
        <v>505</v>
      </c>
      <c r="G108" s="2">
        <f>Projects[[#This Row],[Activity Ref]]</f>
        <v>33</v>
      </c>
      <c r="H108" s="2"/>
      <c r="J108" s="2" t="str">
        <f>IF(OR(ISBLANK(Projects[[#This Row],[Task]]),Projects[[#This Row],[Task]]=0),"",CONCATENATE(Projects[[#This Row],[Phase]],Projects[[#This Row],[Task]]))</f>
        <v/>
      </c>
      <c r="K108" s="2" t="s">
        <v>386</v>
      </c>
      <c r="L108" s="2" t="s">
        <v>400</v>
      </c>
      <c r="S108" s="13"/>
      <c r="T108" s="2" t="s">
        <v>216</v>
      </c>
      <c r="U108" s="2" t="s">
        <v>232</v>
      </c>
      <c r="V108" s="40">
        <f t="shared" si="5"/>
        <v>0</v>
      </c>
      <c r="W108" s="2"/>
      <c r="X108" s="17"/>
      <c r="Y108" s="17"/>
      <c r="Z108" s="2" t="s">
        <v>248</v>
      </c>
      <c r="AA108" s="40">
        <f t="shared" si="6"/>
        <v>0</v>
      </c>
      <c r="AB108" s="40" t="str">
        <f>IFERROR(INDEX(#REF!,MATCH(#REF!,#REF!,0)),"")</f>
        <v/>
      </c>
      <c r="AC108" s="40" t="str">
        <f>IFERROR(INDEX(#REF!,MATCH(#REF!,#REF!,0)),"")</f>
        <v/>
      </c>
      <c r="AD108" s="13"/>
      <c r="AE108" s="13"/>
      <c r="AF108" s="13"/>
      <c r="AG108" s="13"/>
      <c r="AQ108" s="40">
        <f>SUM(Projects[[#This Row],[2024 Actual]],Projects[[#This Row],[2025 Actual ]])</f>
        <v>0</v>
      </c>
      <c r="AR108" s="40"/>
      <c r="AS108" s="173" t="str">
        <f>IF(Projects[[#This Row],[WRP Funding Allocated USD]]=0,"-",Projects[[#This Row],[Actual Spend USD]]/Projects[[#This Row],[WRP Funding Allocated USD]])</f>
        <v>-</v>
      </c>
      <c r="AY108" s="150" t="e">
        <f>Projects[[#This Row],[No. Action Completed]]/Projects[[#This Row],[No. Actions Identified]]</f>
        <v>#DIV/0!</v>
      </c>
      <c r="BC108" s="15"/>
      <c r="BD108" s="15"/>
      <c r="BE108" s="17" t="s">
        <v>249</v>
      </c>
      <c r="BF108" s="17" t="s">
        <v>249</v>
      </c>
      <c r="BG108" s="38">
        <v>0</v>
      </c>
      <c r="BH108" s="38">
        <v>0</v>
      </c>
      <c r="BI108" s="64" t="s">
        <v>119</v>
      </c>
      <c r="BJ108" s="64" t="s">
        <v>119</v>
      </c>
      <c r="BK108" s="17" t="s">
        <v>242</v>
      </c>
      <c r="BL108" s="17" t="s">
        <v>119</v>
      </c>
    </row>
    <row r="109" spans="1:64" ht="75" customHeight="1">
      <c r="A109" s="32">
        <f>INDEX('Implementation Plan V2 Sep25'!A:A,MATCH(E109,'Implementation Plan V2 Sep25'!F:F,0))</f>
        <v>5</v>
      </c>
      <c r="B109" s="33" t="str">
        <f>INDEX('Implementation Plan V2 Sep25'!C:C,MATCH(E109,'Implementation Plan V2 Sep25'!F:F,0))</f>
        <v>Output 5.1 Pacific capacity and collaborative approaches to deliver locally-relevant, impact-based, inclusive and accessible forecasts and warnings for end users strengthened and sustained</v>
      </c>
      <c r="C109" s="33" t="str">
        <f>INDEX('Implementation Plan V2 Sep25'!E:E,MATCH(E109,'Implementation Plan V2 Sep25'!F:F,0))</f>
        <v>5.1.5</v>
      </c>
      <c r="D109" s="33">
        <f>INDEX('Implementation Plan V2 Sep25'!D:D,MATCH(E109,'Implementation Plan V2 Sep25'!F:F,0))</f>
        <v>55</v>
      </c>
      <c r="E109" s="2" t="s">
        <v>136</v>
      </c>
      <c r="F109" s="2" t="s">
        <v>506</v>
      </c>
      <c r="G109" s="2">
        <f>Projects[[#This Row],[Activity Ref]]</f>
        <v>55</v>
      </c>
      <c r="H109" s="2"/>
      <c r="J109" s="2" t="str">
        <f>IF(OR(ISBLANK(Projects[[#This Row],[Task]]),Projects[[#This Row],[Task]]=0),"",CONCATENATE(Projects[[#This Row],[Phase]],Projects[[#This Row],[Task]]))</f>
        <v/>
      </c>
      <c r="K109" s="2" t="s">
        <v>224</v>
      </c>
      <c r="L109" s="2" t="s">
        <v>229</v>
      </c>
      <c r="O109" s="2" t="s">
        <v>230</v>
      </c>
      <c r="S109" s="13"/>
      <c r="T109" s="2" t="s">
        <v>507</v>
      </c>
      <c r="U109" s="2" t="s">
        <v>232</v>
      </c>
      <c r="V109" s="40">
        <f t="shared" si="5"/>
        <v>22530.699999999997</v>
      </c>
      <c r="W109" s="2"/>
      <c r="X109" s="17"/>
      <c r="Y109" s="17"/>
      <c r="Z109" s="2" t="s">
        <v>233</v>
      </c>
      <c r="AA109" s="40">
        <f t="shared" si="6"/>
        <v>22530.699999999997</v>
      </c>
      <c r="AB109" s="40" t="str">
        <f>IFERROR(INDEX(#REF!,MATCH(#REF!,#REF!,0)),"")</f>
        <v/>
      </c>
      <c r="AC109" s="40" t="str">
        <f>IFERROR(INDEX(#REF!,MATCH(#REF!,#REF!,0)),"")</f>
        <v/>
      </c>
      <c r="AD109" s="13"/>
      <c r="AE109" s="19">
        <v>22530.699999999997</v>
      </c>
      <c r="AF109" s="13"/>
      <c r="AG109" s="13"/>
      <c r="AP109" s="13">
        <f>Projects[[#This Row],[2025]]</f>
        <v>22530.699999999997</v>
      </c>
      <c r="AQ109" s="40">
        <f>SUM(Projects[[#This Row],[2024 Actual]],Projects[[#This Row],[2025 Actual ]])</f>
        <v>22530.699999999997</v>
      </c>
      <c r="AR109" s="40"/>
      <c r="AS109" s="173">
        <f>IF(Projects[[#This Row],[WRP Funding Allocated USD]]=0,"-",Projects[[#This Row],[Actual Spend USD]]/Projects[[#This Row],[WRP Funding Allocated USD]])</f>
        <v>1</v>
      </c>
      <c r="AY109" s="150" t="e">
        <f>Projects[[#This Row],[No. Action Completed]]/Projects[[#This Row],[No. Actions Identified]]</f>
        <v>#DIV/0!</v>
      </c>
      <c r="BC109" s="15"/>
      <c r="BD109" s="15"/>
      <c r="BE109" s="17" t="s">
        <v>220</v>
      </c>
      <c r="BF109" s="17" t="s">
        <v>220</v>
      </c>
      <c r="BG109" s="38">
        <v>0.8</v>
      </c>
      <c r="BH109" s="38">
        <v>0.8</v>
      </c>
      <c r="BI109" s="64" t="s">
        <v>221</v>
      </c>
      <c r="BJ109" s="64" t="s">
        <v>221</v>
      </c>
      <c r="BK109" s="151" t="s">
        <v>242</v>
      </c>
      <c r="BL109" s="151" t="s">
        <v>508</v>
      </c>
    </row>
    <row r="110" spans="1:64" ht="77.25" customHeight="1">
      <c r="A110" s="32">
        <f>INDEX('Implementation Plan V2 Sep25'!A:A,MATCH(E110,'Implementation Plan V2 Sep25'!F:F,0))</f>
        <v>1</v>
      </c>
      <c r="B110" s="33" t="str">
        <f>INDEX('Implementation Plan V2 Sep25'!C:C,MATCH(E110,'Implementation Plan V2 Sep25'!F:F,0))</f>
        <v>Output 1.1 WRP governance, management and financing mechanisms established, mandated and equipped to coordinate a Pacific-led, integrated, and sustainable programme</v>
      </c>
      <c r="C110" s="33" t="str">
        <f>INDEX('Implementation Plan V2 Sep25'!E:E,MATCH(E110,'Implementation Plan V2 Sep25'!F:F,0))</f>
        <v>1.1.3</v>
      </c>
      <c r="D110" s="33">
        <f>INDEX('Implementation Plan V2 Sep25'!D:D,MATCH(E110,'Implementation Plan V2 Sep25'!F:F,0))</f>
        <v>13</v>
      </c>
      <c r="E110" s="2" t="s">
        <v>22</v>
      </c>
      <c r="F110" s="2" t="s">
        <v>509</v>
      </c>
      <c r="G110" s="2"/>
      <c r="H110" s="2"/>
      <c r="J110" s="2" t="str">
        <f>IF(OR(ISBLANK(Projects[[#This Row],[Task]]),Projects[[#This Row],[Task]]=0),"",CONCATENATE(Projects[[#This Row],[Phase]],Projects[[#This Row],[Task]]))</f>
        <v/>
      </c>
      <c r="K110" s="2" t="s">
        <v>310</v>
      </c>
      <c r="L110" s="2" t="s">
        <v>12</v>
      </c>
      <c r="S110" s="13"/>
      <c r="V110" s="40">
        <f t="shared" ref="V110:V114" si="7">SUM(X110,AA110)</f>
        <v>0</v>
      </c>
      <c r="W110" s="2"/>
      <c r="X110" s="17"/>
      <c r="Y110" s="17"/>
      <c r="AA110" s="40">
        <f t="shared" si="6"/>
        <v>0</v>
      </c>
      <c r="AB110" s="40" t="str">
        <f>IFERROR(INDEX(#REF!,MATCH(#REF!,#REF!,0)),"")</f>
        <v/>
      </c>
      <c r="AC110" s="40" t="str">
        <f>IFERROR(INDEX(#REF!,MATCH(#REF!,#REF!,0)),"")</f>
        <v/>
      </c>
      <c r="AD110" s="13"/>
      <c r="AE110" s="13"/>
      <c r="AF110" s="13"/>
      <c r="AG110" s="13"/>
      <c r="AQ110" s="40">
        <f>SUM(Projects[[#This Row],[2024 Actual]],Projects[[#This Row],[2025 Actual ]])</f>
        <v>0</v>
      </c>
      <c r="AR110" s="40"/>
      <c r="AS110" s="173" t="str">
        <f>IF(Projects[[#This Row],[WRP Funding Allocated USD]]=0,"-",Projects[[#This Row],[Actual Spend USD]]/Projects[[#This Row],[WRP Funding Allocated USD]])</f>
        <v>-</v>
      </c>
      <c r="AY110" s="150" t="e">
        <f>Projects[[#This Row],[No. Action Completed]]/Projects[[#This Row],[No. Actions Identified]]</f>
        <v>#DIV/0!</v>
      </c>
      <c r="BC110" s="15"/>
      <c r="BD110" s="15"/>
      <c r="BE110" s="17"/>
      <c r="BF110" s="17"/>
      <c r="BG110" s="38" t="s">
        <v>119</v>
      </c>
      <c r="BH110" s="38" t="s">
        <v>119</v>
      </c>
      <c r="BI110" s="64" t="s">
        <v>119</v>
      </c>
      <c r="BJ110" s="64" t="s">
        <v>119</v>
      </c>
      <c r="BK110" s="17"/>
      <c r="BL110" s="17" t="s">
        <v>119</v>
      </c>
    </row>
    <row r="111" spans="1:64" ht="40.5" customHeight="1">
      <c r="A111" s="32">
        <f>INDEX('Implementation Plan V2 Sep25'!A:A,MATCH(E111,'Implementation Plan V2 Sep25'!F:F,0))</f>
        <v>1</v>
      </c>
      <c r="B111" s="33" t="str">
        <f>INDEX('Implementation Plan V2 Sep25'!C:C,MATCH(E111,'Implementation Plan V2 Sep25'!F:F,0))</f>
        <v>Output 1.1 WRP governance, management and financing mechanisms established, mandated and equipped to coordinate a Pacific-led, integrated, and sustainable programme</v>
      </c>
      <c r="C111" s="33" t="str">
        <f>INDEX('Implementation Plan V2 Sep25'!E:E,MATCH(E111,'Implementation Plan V2 Sep25'!F:F,0))</f>
        <v>1.1.2</v>
      </c>
      <c r="D111" s="33">
        <f>INDEX('Implementation Plan V2 Sep25'!D:D,MATCH(E111,'Implementation Plan V2 Sep25'!F:F,0))</f>
        <v>12</v>
      </c>
      <c r="E111" s="2" t="s">
        <v>19</v>
      </c>
      <c r="F111" s="2" t="s">
        <v>510</v>
      </c>
      <c r="G111" s="2"/>
      <c r="H111" s="2"/>
      <c r="J111" s="2" t="str">
        <f>IF(OR(ISBLANK(Projects[[#This Row],[Task]]),Projects[[#This Row],[Task]]=0),"",CONCATENATE(Projects[[#This Row],[Phase]],Projects[[#This Row],[Task]]))</f>
        <v/>
      </c>
      <c r="K111" s="2" t="s">
        <v>310</v>
      </c>
      <c r="L111" s="2" t="s">
        <v>12</v>
      </c>
      <c r="S111" s="13"/>
      <c r="V111" s="40">
        <f t="shared" si="7"/>
        <v>0</v>
      </c>
      <c r="W111" s="2"/>
      <c r="X111" s="17"/>
      <c r="Y111" s="17"/>
      <c r="AA111" s="40">
        <f t="shared" si="6"/>
        <v>0</v>
      </c>
      <c r="AB111" s="40" t="str">
        <f>IFERROR(INDEX(#REF!,MATCH(#REF!,#REF!,0)),"")</f>
        <v/>
      </c>
      <c r="AC111" s="40" t="str">
        <f>IFERROR(INDEX(#REF!,MATCH(#REF!,#REF!,0)),"")</f>
        <v/>
      </c>
      <c r="AD111" s="13"/>
      <c r="AE111" s="13"/>
      <c r="AF111" s="13"/>
      <c r="AG111" s="13"/>
      <c r="AQ111" s="40">
        <f>SUM(Projects[[#This Row],[2024 Actual]],Projects[[#This Row],[2025 Actual ]])</f>
        <v>0</v>
      </c>
      <c r="AR111" s="40"/>
      <c r="AS111" s="173" t="str">
        <f>IF(Projects[[#This Row],[WRP Funding Allocated USD]]=0,"-",Projects[[#This Row],[Actual Spend USD]]/Projects[[#This Row],[WRP Funding Allocated USD]])</f>
        <v>-</v>
      </c>
      <c r="AY111" s="150" t="e">
        <f>Projects[[#This Row],[No. Action Completed]]/Projects[[#This Row],[No. Actions Identified]]</f>
        <v>#DIV/0!</v>
      </c>
      <c r="BC111" s="15"/>
      <c r="BD111" s="15"/>
      <c r="BE111" s="17"/>
      <c r="BF111" s="17"/>
      <c r="BG111" s="38" t="s">
        <v>119</v>
      </c>
      <c r="BH111" s="38" t="s">
        <v>119</v>
      </c>
      <c r="BI111" s="64" t="s">
        <v>119</v>
      </c>
      <c r="BJ111" s="64" t="s">
        <v>119</v>
      </c>
      <c r="BK111" s="17"/>
      <c r="BL111" s="17" t="s">
        <v>119</v>
      </c>
    </row>
    <row r="112" spans="1:64" ht="45" customHeight="1">
      <c r="A112" s="32">
        <f>INDEX('Implementation Plan V2 Sep25'!A:A,MATCH(E112,'Implementation Plan V2 Sep25'!F:F,0))</f>
        <v>1</v>
      </c>
      <c r="B112" s="33" t="str">
        <f>INDEX('Implementation Plan V2 Sep25'!C:C,MATCH(E112,'Implementation Plan V2 Sep25'!F:F,0))</f>
        <v>Output 1.1 WRP governance, management and financing mechanisms established, mandated and equipped to coordinate a Pacific-led, integrated, and sustainable programme</v>
      </c>
      <c r="C112" s="33" t="str">
        <f>INDEX('Implementation Plan V2 Sep25'!E:E,MATCH(E112,'Implementation Plan V2 Sep25'!F:F,0))</f>
        <v>1.1.4</v>
      </c>
      <c r="D112" s="33">
        <f>INDEX('Implementation Plan V2 Sep25'!D:D,MATCH(E112,'Implementation Plan V2 Sep25'!F:F,0))</f>
        <v>14</v>
      </c>
      <c r="E112" s="2" t="s">
        <v>26</v>
      </c>
      <c r="F112" s="2" t="s">
        <v>27</v>
      </c>
      <c r="G112" s="2"/>
      <c r="H112" s="2"/>
      <c r="J112" s="2" t="str">
        <f>IF(OR(ISBLANK(Projects[[#This Row],[Task]]),Projects[[#This Row],[Task]]=0),"",CONCATENATE(Projects[[#This Row],[Phase]],Projects[[#This Row],[Task]]))</f>
        <v/>
      </c>
      <c r="K112" s="2" t="s">
        <v>310</v>
      </c>
      <c r="L112" s="2" t="s">
        <v>12</v>
      </c>
      <c r="S112" s="13"/>
      <c r="V112" s="40">
        <f t="shared" si="7"/>
        <v>0</v>
      </c>
      <c r="W112" s="2"/>
      <c r="X112" s="17"/>
      <c r="Y112" s="17"/>
      <c r="AA112" s="40">
        <f t="shared" si="6"/>
        <v>0</v>
      </c>
      <c r="AB112" s="40" t="str">
        <f>IFERROR(INDEX(#REF!,MATCH(#REF!,#REF!,0)),"")</f>
        <v/>
      </c>
      <c r="AC112" s="40" t="str">
        <f>IFERROR(INDEX(#REF!,MATCH(#REF!,#REF!,0)),"")</f>
        <v/>
      </c>
      <c r="AD112" s="13"/>
      <c r="AE112" s="13"/>
      <c r="AF112" s="13"/>
      <c r="AG112" s="13"/>
      <c r="AQ112" s="40">
        <f>SUM(Projects[[#This Row],[2024 Actual]],Projects[[#This Row],[2025 Actual ]])</f>
        <v>0</v>
      </c>
      <c r="AR112" s="40"/>
      <c r="AS112" s="173" t="str">
        <f>IF(Projects[[#This Row],[WRP Funding Allocated USD]]=0,"-",Projects[[#This Row],[Actual Spend USD]]/Projects[[#This Row],[WRP Funding Allocated USD]])</f>
        <v>-</v>
      </c>
      <c r="AY112" s="150" t="e">
        <f>Projects[[#This Row],[No. Action Completed]]/Projects[[#This Row],[No. Actions Identified]]</f>
        <v>#DIV/0!</v>
      </c>
      <c r="BC112" s="15"/>
      <c r="BD112" s="15"/>
      <c r="BE112" s="17"/>
      <c r="BF112" s="17"/>
      <c r="BG112" s="38" t="s">
        <v>119</v>
      </c>
      <c r="BH112" s="38" t="s">
        <v>119</v>
      </c>
      <c r="BI112" s="64" t="s">
        <v>119</v>
      </c>
      <c r="BJ112" s="64" t="s">
        <v>119</v>
      </c>
      <c r="BK112" s="17"/>
      <c r="BL112" s="17" t="s">
        <v>119</v>
      </c>
    </row>
    <row r="113" spans="1:64" ht="69" customHeight="1">
      <c r="A113" s="32">
        <f>INDEX('Implementation Plan V2 Sep25'!A:A,MATCH(E113,'Implementation Plan V2 Sep25'!F:F,0))</f>
        <v>1</v>
      </c>
      <c r="B113" s="33" t="str">
        <f>INDEX('Implementation Plan V2 Sep25'!C:C,MATCH(E113,'Implementation Plan V2 Sep25'!F:F,0))</f>
        <v>Output 1.3 Transformative GEDSI strategy adopted and integrated across governance, management and partner programming</v>
      </c>
      <c r="C113" s="33" t="str">
        <f>INDEX('Implementation Plan V2 Sep25'!E:E,MATCH(E113,'Implementation Plan V2 Sep25'!F:F,0))</f>
        <v>1.3.1</v>
      </c>
      <c r="D113" s="33">
        <f>INDEX('Implementation Plan V2 Sep25'!D:D,MATCH(E113,'Implementation Plan V2 Sep25'!F:F,0))</f>
        <v>81</v>
      </c>
      <c r="E113" s="2" t="s">
        <v>37</v>
      </c>
      <c r="F113" s="2" t="s">
        <v>31</v>
      </c>
      <c r="G113" s="2"/>
      <c r="H113" s="2"/>
      <c r="J113" s="2" t="str">
        <f>IF(OR(ISBLANK(Projects[[#This Row],[Task]]),Projects[[#This Row],[Task]]=0),"",CONCATENATE(Projects[[#This Row],[Phase]],Projects[[#This Row],[Task]]))</f>
        <v/>
      </c>
      <c r="K113" s="2" t="s">
        <v>310</v>
      </c>
      <c r="L113" s="2" t="s">
        <v>12</v>
      </c>
      <c r="S113" s="13"/>
      <c r="V113" s="40">
        <f t="shared" si="7"/>
        <v>0</v>
      </c>
      <c r="W113" s="2"/>
      <c r="X113" s="17"/>
      <c r="Y113" s="17"/>
      <c r="AA113" s="40">
        <f t="shared" si="6"/>
        <v>0</v>
      </c>
      <c r="AB113" s="40" t="str">
        <f>IFERROR(INDEX(#REF!,MATCH(#REF!,#REF!,0)),"")</f>
        <v/>
      </c>
      <c r="AC113" s="40" t="str">
        <f>IFERROR(INDEX(#REF!,MATCH(#REF!,#REF!,0)),"")</f>
        <v/>
      </c>
      <c r="AD113" s="13"/>
      <c r="AE113" s="13"/>
      <c r="AF113" s="13"/>
      <c r="AG113" s="13"/>
      <c r="AQ113" s="40">
        <f>SUM(Projects[[#This Row],[2024 Actual]],Projects[[#This Row],[2025 Actual ]])</f>
        <v>0</v>
      </c>
      <c r="AR113" s="40"/>
      <c r="AS113" s="173" t="str">
        <f>IF(Projects[[#This Row],[WRP Funding Allocated USD]]=0,"-",Projects[[#This Row],[Actual Spend USD]]/Projects[[#This Row],[WRP Funding Allocated USD]])</f>
        <v>-</v>
      </c>
      <c r="AY113" s="150" t="e">
        <f>Projects[[#This Row],[No. Action Completed]]/Projects[[#This Row],[No. Actions Identified]]</f>
        <v>#DIV/0!</v>
      </c>
      <c r="BC113" s="15"/>
      <c r="BD113" s="15"/>
      <c r="BE113" s="17"/>
      <c r="BF113" s="17"/>
      <c r="BG113" s="38" t="s">
        <v>119</v>
      </c>
      <c r="BH113" s="38" t="s">
        <v>119</v>
      </c>
      <c r="BI113" s="64" t="s">
        <v>119</v>
      </c>
      <c r="BJ113" s="64" t="s">
        <v>119</v>
      </c>
      <c r="BK113" s="17" t="s">
        <v>242</v>
      </c>
      <c r="BL113" s="17" t="s">
        <v>119</v>
      </c>
    </row>
    <row r="114" spans="1:64" ht="54" customHeight="1">
      <c r="A114" s="32">
        <f>INDEX('Implementation Plan V2 Sep25'!A:A,MATCH(E114,'Implementation Plan V2 Sep25'!F:F,0))</f>
        <v>2</v>
      </c>
      <c r="B114" s="33" t="str">
        <f>INDEX('Implementation Plan V2 Sep25'!C:C,MATCH(E114,'Implementation Plan V2 Sep25'!F:F,0))</f>
        <v>OP2.1 WMO-designated Pacific Regional Training Centre established and sustainably managed</v>
      </c>
      <c r="C114" s="33" t="str">
        <f>INDEX('Implementation Plan V2 Sep25'!E:E,MATCH(E114,'Implementation Plan V2 Sep25'!F:F,0))</f>
        <v>2.1.1</v>
      </c>
      <c r="D114" s="33">
        <f>INDEX('Implementation Plan V2 Sep25'!D:D,MATCH(E114,'Implementation Plan V2 Sep25'!F:F,0))</f>
        <v>21</v>
      </c>
      <c r="E114" s="2" t="s">
        <v>43</v>
      </c>
      <c r="F114" s="2" t="s">
        <v>511</v>
      </c>
      <c r="G114" s="2">
        <f>Projects[[#This Row],[Activity Ref]]</f>
        <v>21</v>
      </c>
      <c r="H114" s="2"/>
      <c r="J114" s="2" t="str">
        <f>IF(OR(ISBLANK(Projects[[#This Row],[Task]]),Projects[[#This Row],[Task]]=0),"",CONCATENATE(Projects[[#This Row],[Phase]],Projects[[#This Row],[Task]]))</f>
        <v/>
      </c>
      <c r="K114" s="2" t="s">
        <v>214</v>
      </c>
      <c r="L114" s="2" t="s">
        <v>229</v>
      </c>
      <c r="O114" s="2" t="s">
        <v>292</v>
      </c>
      <c r="Q114" s="2">
        <v>2025</v>
      </c>
      <c r="R114" s="2" t="s">
        <v>512</v>
      </c>
      <c r="S114" s="13"/>
      <c r="T114" s="2" t="s">
        <v>216</v>
      </c>
      <c r="U114" s="2" t="s">
        <v>232</v>
      </c>
      <c r="V114" s="40">
        <f t="shared" si="7"/>
        <v>50000</v>
      </c>
      <c r="W114" s="2"/>
      <c r="X114" s="17"/>
      <c r="Y114" s="17"/>
      <c r="Z114" s="2" t="s">
        <v>233</v>
      </c>
      <c r="AA114" s="40">
        <f t="shared" si="6"/>
        <v>50000</v>
      </c>
      <c r="AB114" s="40" t="str">
        <f>IFERROR(INDEX(#REF!,MATCH(#REF!,#REF!,0)),"")</f>
        <v/>
      </c>
      <c r="AC114" s="40" t="str">
        <f>IFERROR(INDEX(#REF!,MATCH(#REF!,#REF!,0)),"")</f>
        <v/>
      </c>
      <c r="AD114" s="13"/>
      <c r="AE114" s="20"/>
      <c r="AF114" s="19">
        <v>50000</v>
      </c>
      <c r="AG114" s="13"/>
      <c r="AQ114" s="40">
        <f>SUM(Projects[[#This Row],[2024 Actual]],Projects[[#This Row],[2025 Actual ]])</f>
        <v>0</v>
      </c>
      <c r="AR114" s="40"/>
      <c r="AS114" s="173">
        <f>IF(Projects[[#This Row],[WRP Funding Allocated USD]]=0,"-",Projects[[#This Row],[Actual Spend USD]]/Projects[[#This Row],[WRP Funding Allocated USD]])</f>
        <v>0</v>
      </c>
      <c r="AY114" s="150" t="e">
        <f>Projects[[#This Row],[No. Action Completed]]/Projects[[#This Row],[No. Actions Identified]]</f>
        <v>#DIV/0!</v>
      </c>
      <c r="BC114" s="15"/>
      <c r="BD114" s="15"/>
      <c r="BE114" s="17" t="s">
        <v>249</v>
      </c>
      <c r="BF114" s="17" t="s">
        <v>249</v>
      </c>
      <c r="BG114" s="38">
        <v>0</v>
      </c>
      <c r="BH114" s="38">
        <v>0</v>
      </c>
      <c r="BI114" s="64" t="s">
        <v>119</v>
      </c>
      <c r="BJ114" s="64" t="s">
        <v>119</v>
      </c>
      <c r="BK114" s="17" t="s">
        <v>513</v>
      </c>
      <c r="BL114" s="17" t="s">
        <v>514</v>
      </c>
    </row>
    <row r="115" spans="1:64" ht="54" customHeight="1">
      <c r="A115" s="32">
        <f>INDEX('Implementation Plan V2 Sep25'!A:A,MATCH(E115,'Implementation Plan V2 Sep25'!F:F,0))</f>
        <v>4</v>
      </c>
      <c r="B115" s="33" t="str">
        <f>INDEX('Implementation Plan V2 Sep25'!C:C,MATCH(E115,'Implementation Plan V2 Sep25'!F:F,0))</f>
        <v>Output 4.1 An integrated Pacific forecasting platform established and operating sustainably to global standards</v>
      </c>
      <c r="C115" s="33" t="str">
        <f>INDEX('Implementation Plan V2 Sep25'!E:E,MATCH(E115,'Implementation Plan V2 Sep25'!F:F,0))</f>
        <v>4.1.1</v>
      </c>
      <c r="D115" s="33">
        <f>INDEX('Implementation Plan V2 Sep25'!D:D,MATCH(E115,'Implementation Plan V2 Sep25'!F:F,0))</f>
        <v>41</v>
      </c>
      <c r="E115" s="2" t="s">
        <v>100</v>
      </c>
      <c r="F115" s="2" t="s">
        <v>515</v>
      </c>
      <c r="G115" s="2">
        <f>Projects[[#This Row],[Activity Ref]]</f>
        <v>41</v>
      </c>
      <c r="H115" s="2"/>
      <c r="I115" s="2">
        <v>2506</v>
      </c>
      <c r="J115" s="2" t="str">
        <f>IF(OR(ISBLANK(Projects[[#This Row],[Task]]),Projects[[#This Row],[Task]]=0),"",CONCATENATE(Projects[[#This Row],[Phase]],Projects[[#This Row],[Task]]))</f>
        <v/>
      </c>
      <c r="K115" s="2" t="s">
        <v>214</v>
      </c>
      <c r="L115" s="2" t="s">
        <v>229</v>
      </c>
      <c r="O115" s="2" t="s">
        <v>251</v>
      </c>
      <c r="S115" s="13"/>
      <c r="T115" s="2" t="s">
        <v>216</v>
      </c>
      <c r="U115" s="2" t="s">
        <v>232</v>
      </c>
      <c r="V115" s="40">
        <f t="shared" ref="V115:V125" si="8">SUM(X115,AA115)</f>
        <v>50000</v>
      </c>
      <c r="W115" s="2" t="s">
        <v>516</v>
      </c>
      <c r="X115" s="17">
        <v>30000</v>
      </c>
      <c r="Y115" s="17" t="s">
        <v>517</v>
      </c>
      <c r="Z115" s="2" t="s">
        <v>248</v>
      </c>
      <c r="AA115" s="40">
        <f t="shared" si="6"/>
        <v>20000</v>
      </c>
      <c r="AB115" s="40" t="str">
        <f>IFERROR(INDEX(#REF!,MATCH(#REF!,#REF!,0)),"")</f>
        <v/>
      </c>
      <c r="AC115" s="40" t="str">
        <f>IFERROR(INDEX(#REF!,MATCH(#REF!,#REF!,0)),"")</f>
        <v/>
      </c>
      <c r="AD115" s="13"/>
      <c r="AE115" s="13"/>
      <c r="AF115" s="196">
        <v>20000</v>
      </c>
      <c r="AG115" s="196"/>
      <c r="AH115" s="196"/>
      <c r="AI115" s="196"/>
      <c r="AQ115" s="40">
        <f>SUM(Projects[[#This Row],[2024 Actual]],Projects[[#This Row],[2025 Actual ]])</f>
        <v>0</v>
      </c>
      <c r="AR115" s="40"/>
      <c r="AS115" s="173">
        <f>IF(Projects[[#This Row],[WRP Funding Allocated USD]]=0,"-",Projects[[#This Row],[Actual Spend USD]]/Projects[[#This Row],[WRP Funding Allocated USD]])</f>
        <v>0</v>
      </c>
      <c r="AY115" s="150" t="e">
        <f>Projects[[#This Row],[No. Action Completed]]/Projects[[#This Row],[No. Actions Identified]]</f>
        <v>#DIV/0!</v>
      </c>
      <c r="BC115" s="15"/>
      <c r="BD115" s="15"/>
      <c r="BE115" s="17" t="s">
        <v>249</v>
      </c>
      <c r="BF115" s="17" t="s">
        <v>249</v>
      </c>
      <c r="BG115" s="38">
        <v>0</v>
      </c>
      <c r="BH115" s="38">
        <v>0</v>
      </c>
      <c r="BI115" s="64" t="s">
        <v>119</v>
      </c>
      <c r="BJ115" s="64" t="s">
        <v>119</v>
      </c>
      <c r="BK115" s="17" t="s">
        <v>242</v>
      </c>
      <c r="BL115" s="17" t="s">
        <v>119</v>
      </c>
    </row>
    <row r="116" spans="1:64" ht="40.5" customHeight="1">
      <c r="A116" s="32">
        <f>INDEX('Implementation Plan V2 Sep25'!A:A,MATCH(E116,'Implementation Plan V2 Sep25'!F:F,0))</f>
        <v>1</v>
      </c>
      <c r="B116" s="33" t="str">
        <f>INDEX('Implementation Plan V2 Sep25'!C:C,MATCH(E116,'Implementation Plan V2 Sep25'!F:F,0))</f>
        <v>Output 1.1 WRP governance, management and financing mechanisms established, mandated and equipped to coordinate a Pacific-led, integrated, and sustainable programme</v>
      </c>
      <c r="C116" s="33" t="str">
        <f>INDEX('Implementation Plan V2 Sep25'!E:E,MATCH(E116,'Implementation Plan V2 Sep25'!F:F,0))</f>
        <v>1.1.4</v>
      </c>
      <c r="D116" s="33">
        <f>INDEX('Implementation Plan V2 Sep25'!D:D,MATCH(E116,'Implementation Plan V2 Sep25'!F:F,0))</f>
        <v>14</v>
      </c>
      <c r="E116" s="2" t="s">
        <v>26</v>
      </c>
      <c r="F116" s="2" t="s">
        <v>518</v>
      </c>
      <c r="G116" s="2"/>
      <c r="H116" s="2"/>
      <c r="J116" s="2" t="str">
        <f>IF(OR(ISBLANK(Projects[[#This Row],[Task]]),Projects[[#This Row],[Task]]=0),"",CONCATENATE(Projects[[#This Row],[Phase]],Projects[[#This Row],[Task]]))</f>
        <v/>
      </c>
      <c r="K116" s="2" t="s">
        <v>310</v>
      </c>
      <c r="L116" s="2" t="s">
        <v>280</v>
      </c>
      <c r="S116" s="13"/>
      <c r="U116" s="2" t="s">
        <v>217</v>
      </c>
      <c r="V116" s="40">
        <f t="shared" si="8"/>
        <v>619825</v>
      </c>
      <c r="W116" s="2" t="s">
        <v>248</v>
      </c>
      <c r="X116" s="17">
        <f>1000000*0.619825</f>
        <v>619825</v>
      </c>
      <c r="Y116" s="17" t="s">
        <v>519</v>
      </c>
      <c r="AA116" s="40">
        <f t="shared" si="6"/>
        <v>0</v>
      </c>
      <c r="AB116" s="40" t="str">
        <f>IFERROR(INDEX(#REF!,MATCH(#REF!,#REF!,0)),"")</f>
        <v/>
      </c>
      <c r="AC116" s="40" t="str">
        <f>IFERROR(INDEX(#REF!,MATCH(#REF!,#REF!,0)),"")</f>
        <v/>
      </c>
      <c r="AD116" s="13"/>
      <c r="AE116" s="13"/>
      <c r="AF116" s="13"/>
      <c r="AG116" s="13"/>
      <c r="AQ116" s="40">
        <f>SUM(Projects[[#This Row],[2024 Actual]],Projects[[#This Row],[2025 Actual ]])</f>
        <v>0</v>
      </c>
      <c r="AR116" s="40"/>
      <c r="AS116" s="173" t="str">
        <f>IF(Projects[[#This Row],[WRP Funding Allocated USD]]=0,"-",Projects[[#This Row],[Actual Spend USD]]/Projects[[#This Row],[WRP Funding Allocated USD]])</f>
        <v>-</v>
      </c>
      <c r="AY116" s="150" t="e">
        <f>Projects[[#This Row],[No. Action Completed]]/Projects[[#This Row],[No. Actions Identified]]</f>
        <v>#DIV/0!</v>
      </c>
      <c r="BC116" s="15"/>
      <c r="BD116" s="15"/>
      <c r="BE116" s="17"/>
      <c r="BF116" s="17"/>
      <c r="BG116" s="38">
        <v>0.25</v>
      </c>
      <c r="BH116" s="38">
        <v>0.25</v>
      </c>
      <c r="BI116" s="64" t="s">
        <v>119</v>
      </c>
      <c r="BJ116" s="64" t="s">
        <v>119</v>
      </c>
      <c r="BK116" s="17"/>
      <c r="BL116" s="17" t="s">
        <v>119</v>
      </c>
    </row>
    <row r="117" spans="1:64" ht="52.5" customHeight="1">
      <c r="A117" s="32">
        <f>INDEX('Implementation Plan V2 Sep25'!A:A,MATCH(E117,'Implementation Plan V2 Sep25'!F:F,0))</f>
        <v>2</v>
      </c>
      <c r="B117" s="33" t="str">
        <f>INDEX('Implementation Plan V2 Sep25'!C:C,MATCH(E117,'Implementation Plan V2 Sep25'!F:F,0))</f>
        <v>OP2.1 WMO-designated Pacific Regional Training Centre established and sustainably managed</v>
      </c>
      <c r="C117" s="33" t="str">
        <f>INDEX('Implementation Plan V2 Sep25'!E:E,MATCH(E117,'Implementation Plan V2 Sep25'!F:F,0))</f>
        <v>2.1.1</v>
      </c>
      <c r="D117" s="33">
        <f>INDEX('Implementation Plan V2 Sep25'!D:D,MATCH(E117,'Implementation Plan V2 Sep25'!F:F,0))</f>
        <v>21</v>
      </c>
      <c r="E117" s="2" t="s">
        <v>43</v>
      </c>
      <c r="F117" s="2" t="s">
        <v>520</v>
      </c>
      <c r="G117" s="2">
        <f>Projects[[#This Row],[Activity Ref]]</f>
        <v>21</v>
      </c>
      <c r="H117" s="2"/>
      <c r="J117" s="2" t="str">
        <f>IF(OR(ISBLANK(Projects[[#This Row],[Task]]),Projects[[#This Row],[Task]]=0),"",CONCATENATE(Projects[[#This Row],[Phase]],Projects[[#This Row],[Task]]))</f>
        <v/>
      </c>
      <c r="K117" s="2" t="s">
        <v>214</v>
      </c>
      <c r="L117" s="2" t="s">
        <v>229</v>
      </c>
      <c r="O117" s="2" t="s">
        <v>251</v>
      </c>
      <c r="S117" s="13">
        <f>Projects[[#This Row],[2026 Budget]]</f>
        <v>35000</v>
      </c>
      <c r="T117" s="2" t="s">
        <v>216</v>
      </c>
      <c r="U117" s="2" t="s">
        <v>232</v>
      </c>
      <c r="V117" s="40">
        <f t="shared" si="8"/>
        <v>35000</v>
      </c>
      <c r="W117" s="2"/>
      <c r="X117" s="17"/>
      <c r="Y117" s="17"/>
      <c r="Z117" s="2" t="s">
        <v>248</v>
      </c>
      <c r="AA117" s="40">
        <f t="shared" si="6"/>
        <v>35000</v>
      </c>
      <c r="AB117" s="40" t="str">
        <f>IFERROR(INDEX(#REF!,MATCH(#REF!,#REF!,0)),"")</f>
        <v/>
      </c>
      <c r="AC117" s="40" t="str">
        <f>IFERROR(INDEX(#REF!,MATCH(#REF!,#REF!,0)),"")</f>
        <v/>
      </c>
      <c r="AD117" s="13"/>
      <c r="AE117" s="13"/>
      <c r="AF117" s="19">
        <v>35000</v>
      </c>
      <c r="AG117" s="13"/>
      <c r="AQ117" s="40">
        <f>SUM(Projects[[#This Row],[2024 Actual]],Projects[[#This Row],[2025 Actual ]])</f>
        <v>0</v>
      </c>
      <c r="AR117" s="40"/>
      <c r="AS117" s="173">
        <f>IF(Projects[[#This Row],[WRP Funding Allocated USD]]=0,"-",Projects[[#This Row],[Actual Spend USD]]/Projects[[#This Row],[WRP Funding Allocated USD]])</f>
        <v>0</v>
      </c>
      <c r="AY117" s="150" t="e">
        <f>Projects[[#This Row],[No. Action Completed]]/Projects[[#This Row],[No. Actions Identified]]</f>
        <v>#DIV/0!</v>
      </c>
      <c r="BC117" s="15"/>
      <c r="BD117" s="15"/>
      <c r="BE117" s="17" t="s">
        <v>249</v>
      </c>
      <c r="BF117" s="17" t="s">
        <v>249</v>
      </c>
      <c r="BG117" s="38">
        <v>0</v>
      </c>
      <c r="BH117" s="38">
        <v>0</v>
      </c>
      <c r="BI117" s="64" t="s">
        <v>119</v>
      </c>
      <c r="BJ117" s="64" t="s">
        <v>119</v>
      </c>
      <c r="BK117" s="17" t="s">
        <v>242</v>
      </c>
      <c r="BL117" s="17" t="s">
        <v>521</v>
      </c>
    </row>
    <row r="118" spans="1:64" ht="40.5" customHeight="1">
      <c r="A118" s="32">
        <f>INDEX('Implementation Plan V2 Sep25'!A:A,MATCH(E118,'Implementation Plan V2 Sep25'!F:F,0))</f>
        <v>5</v>
      </c>
      <c r="B118" s="33" t="str">
        <f>INDEX('Implementation Plan V2 Sep25'!C:C,MATCH(E118,'Implementation Plan V2 Sep25'!F:F,0))</f>
        <v>Output 5.1 Pacific capacity and collaborative approaches to deliver locally-relevant, impact-based, inclusive and accessible forecasts and warnings for end users strengthened and sustained</v>
      </c>
      <c r="C118" s="33" t="str">
        <f>INDEX('Implementation Plan V2 Sep25'!E:E,MATCH(E118,'Implementation Plan V2 Sep25'!F:F,0))</f>
        <v>5.1.5</v>
      </c>
      <c r="D118" s="33">
        <f>INDEX('Implementation Plan V2 Sep25'!D:D,MATCH(E118,'Implementation Plan V2 Sep25'!F:F,0))</f>
        <v>55</v>
      </c>
      <c r="E118" s="2" t="s">
        <v>136</v>
      </c>
      <c r="F118" s="2" t="s">
        <v>522</v>
      </c>
      <c r="G118" s="2">
        <f>Projects[[#This Row],[Activity Ref]]</f>
        <v>55</v>
      </c>
      <c r="H118" s="2"/>
      <c r="J118" s="2" t="str">
        <f>IF(OR(ISBLANK(Projects[[#This Row],[Task]]),Projects[[#This Row],[Task]]=0),"",CONCATENATE(Projects[[#This Row],[Phase]],Projects[[#This Row],[Task]]))</f>
        <v/>
      </c>
      <c r="K118" s="2" t="s">
        <v>214</v>
      </c>
      <c r="L118" s="2" t="s">
        <v>229</v>
      </c>
      <c r="O118" s="2" t="s">
        <v>292</v>
      </c>
      <c r="S118" s="13"/>
      <c r="T118" s="2" t="s">
        <v>395</v>
      </c>
      <c r="V118" s="40">
        <f t="shared" si="8"/>
        <v>0</v>
      </c>
      <c r="W118" s="2"/>
      <c r="X118" s="17"/>
      <c r="Y118" s="17"/>
      <c r="AA118" s="40">
        <f t="shared" si="6"/>
        <v>0</v>
      </c>
      <c r="AB118" s="40" t="str">
        <f>IFERROR(INDEX(#REF!,MATCH(#REF!,#REF!,0)),"")</f>
        <v/>
      </c>
      <c r="AC118" s="40" t="str">
        <f>IFERROR(INDEX(#REF!,MATCH(#REF!,#REF!,0)),"")</f>
        <v/>
      </c>
      <c r="AD118" s="13"/>
      <c r="AE118" s="13"/>
      <c r="AF118" s="13"/>
      <c r="AG118" s="13"/>
      <c r="AQ118" s="40">
        <f>SUM(Projects[[#This Row],[2024 Actual]],Projects[[#This Row],[2025 Actual ]])</f>
        <v>0</v>
      </c>
      <c r="AR118" s="40"/>
      <c r="AS118" s="173" t="str">
        <f>IF(Projects[[#This Row],[WRP Funding Allocated USD]]=0,"-",Projects[[#This Row],[Actual Spend USD]]/Projects[[#This Row],[WRP Funding Allocated USD]])</f>
        <v>-</v>
      </c>
      <c r="AY118" s="150" t="e">
        <f>Projects[[#This Row],[No. Action Completed]]/Projects[[#This Row],[No. Actions Identified]]</f>
        <v>#DIV/0!</v>
      </c>
      <c r="BC118" s="15"/>
      <c r="BD118" s="15"/>
      <c r="BE118" s="17"/>
      <c r="BF118" s="17"/>
      <c r="BG118" s="38" t="s">
        <v>119</v>
      </c>
      <c r="BH118" s="38" t="s">
        <v>119</v>
      </c>
      <c r="BI118" s="64" t="s">
        <v>119</v>
      </c>
      <c r="BJ118" s="64" t="s">
        <v>119</v>
      </c>
      <c r="BK118" s="17" t="s">
        <v>242</v>
      </c>
      <c r="BL118" s="17"/>
    </row>
    <row r="119" spans="1:64" ht="40.5" customHeight="1">
      <c r="A119" s="32">
        <f>INDEX('Implementation Plan V2 Sep25'!A:A,MATCH(E119,'Implementation Plan V2 Sep25'!F:F,0))</f>
        <v>1</v>
      </c>
      <c r="B119" s="33" t="str">
        <f>INDEX('Implementation Plan V2 Sep25'!C:C,MATCH(E119,'Implementation Plan V2 Sep25'!F:F,0))</f>
        <v>Output 1.3 Transformative GEDSI strategy adopted and integrated across governance, management and partner programming</v>
      </c>
      <c r="C119" s="33" t="str">
        <f>INDEX('Implementation Plan V2 Sep25'!E:E,MATCH(E119,'Implementation Plan V2 Sep25'!F:F,0))</f>
        <v>1.3.2</v>
      </c>
      <c r="D119" s="33">
        <f>INDEX('Implementation Plan V2 Sep25'!D:D,MATCH(E119,'Implementation Plan V2 Sep25'!F:F,0))</f>
        <v>82</v>
      </c>
      <c r="E119" s="2" t="s">
        <v>39</v>
      </c>
      <c r="F119" s="2" t="s">
        <v>523</v>
      </c>
      <c r="G119" s="2">
        <f>Projects[[#This Row],[Activity Ref]]</f>
        <v>82</v>
      </c>
      <c r="H119" s="2"/>
      <c r="J119" s="2" t="str">
        <f>IF(OR(ISBLANK(Projects[[#This Row],[Task]]),Projects[[#This Row],[Task]]=0),"",CONCATENATE(Projects[[#This Row],[Phase]],Projects[[#This Row],[Task]]))</f>
        <v/>
      </c>
      <c r="K119" s="2"/>
      <c r="S119" s="13"/>
      <c r="V119" s="40">
        <f t="shared" si="8"/>
        <v>0</v>
      </c>
      <c r="W119" s="2"/>
      <c r="X119" s="17"/>
      <c r="Y119" s="17"/>
      <c r="AA119" s="40">
        <f t="shared" si="6"/>
        <v>0</v>
      </c>
      <c r="AB119" s="40" t="str">
        <f>IFERROR(INDEX(#REF!,MATCH(#REF!,#REF!,0)),"")</f>
        <v/>
      </c>
      <c r="AC119" s="40" t="str">
        <f>IFERROR(INDEX(#REF!,MATCH(#REF!,#REF!,0)),"")</f>
        <v/>
      </c>
      <c r="AD119" s="13"/>
      <c r="AE119" s="13"/>
      <c r="AF119" s="13"/>
      <c r="AG119" s="13"/>
      <c r="AQ119" s="40">
        <f>SUM(Projects[[#This Row],[2024 Actual]],Projects[[#This Row],[2025 Actual ]])</f>
        <v>0</v>
      </c>
      <c r="AR119" s="40"/>
      <c r="AS119" s="173" t="str">
        <f>IF(Projects[[#This Row],[WRP Funding Allocated USD]]=0,"-",Projects[[#This Row],[Actual Spend USD]]/Projects[[#This Row],[WRP Funding Allocated USD]])</f>
        <v>-</v>
      </c>
      <c r="AY119" s="150" t="e">
        <f>Projects[[#This Row],[No. Action Completed]]/Projects[[#This Row],[No. Actions Identified]]</f>
        <v>#DIV/0!</v>
      </c>
      <c r="BC119" s="15"/>
      <c r="BD119" s="15"/>
      <c r="BE119" s="17"/>
      <c r="BF119" s="17"/>
      <c r="BG119" s="38"/>
      <c r="BH119" s="38"/>
      <c r="BI119" s="64"/>
      <c r="BJ119" s="64"/>
      <c r="BK119" s="17"/>
      <c r="BL119" s="17"/>
    </row>
    <row r="120" spans="1:64" ht="40.5" customHeight="1">
      <c r="A120" s="32">
        <f>INDEX('Implementation Plan V2 Sep25'!A:A,MATCH(E120,'Implementation Plan V2 Sep25'!F:F,0))</f>
        <v>3</v>
      </c>
      <c r="B120" s="33" t="str">
        <f>INDEX('Implementation Plan V2 Sep25'!C:C,MATCH(E120,'Implementation Plan V2 Sep25'!F:F,0))</f>
        <v>Output 3.1 Interoperable, affordable and resilient observation network progressively remediated, expanded and sustained</v>
      </c>
      <c r="C120" s="33" t="str">
        <f>INDEX('Implementation Plan V2 Sep25'!E:E,MATCH(E120,'Implementation Plan V2 Sep25'!F:F,0))</f>
        <v>3.1.6</v>
      </c>
      <c r="D120" s="33">
        <f>INDEX('Implementation Plan V2 Sep25'!D:D,MATCH(E120,'Implementation Plan V2 Sep25'!F:F,0))</f>
        <v>74</v>
      </c>
      <c r="E120" s="2" t="s">
        <v>86</v>
      </c>
      <c r="F120" s="2" t="s">
        <v>524</v>
      </c>
      <c r="G120" s="2">
        <f>Projects[[#This Row],[Activity Ref]]</f>
        <v>74</v>
      </c>
      <c r="H120" s="2"/>
      <c r="J120" s="2" t="str">
        <f>IF(OR(ISBLANK(Projects[[#This Row],[Task]]),Projects[[#This Row],[Task]]=0),"",CONCATENATE(Projects[[#This Row],[Phase]],Projects[[#This Row],[Task]]))</f>
        <v/>
      </c>
      <c r="K120" s="2"/>
      <c r="S120" s="13"/>
      <c r="V120" s="40">
        <f t="shared" si="8"/>
        <v>0</v>
      </c>
      <c r="W120" s="2"/>
      <c r="X120" s="17"/>
      <c r="Y120" s="17"/>
      <c r="AA120" s="40">
        <f t="shared" si="6"/>
        <v>0</v>
      </c>
      <c r="AB120" s="40" t="str">
        <f>IFERROR(INDEX(#REF!,MATCH(#REF!,#REF!,0)),"")</f>
        <v/>
      </c>
      <c r="AC120" s="40" t="str">
        <f>IFERROR(INDEX(#REF!,MATCH(#REF!,#REF!,0)),"")</f>
        <v/>
      </c>
      <c r="AD120" s="13"/>
      <c r="AE120" s="13"/>
      <c r="AF120" s="13"/>
      <c r="AG120" s="13"/>
      <c r="AQ120" s="40">
        <f>SUM(Projects[[#This Row],[2024 Actual]],Projects[[#This Row],[2025 Actual ]])</f>
        <v>0</v>
      </c>
      <c r="AR120" s="40"/>
      <c r="AS120" s="173" t="str">
        <f>IF(Projects[[#This Row],[WRP Funding Allocated USD]]=0,"-",Projects[[#This Row],[Actual Spend USD]]/Projects[[#This Row],[WRP Funding Allocated USD]])</f>
        <v>-</v>
      </c>
      <c r="AY120" s="150" t="e">
        <f>Projects[[#This Row],[No. Action Completed]]/Projects[[#This Row],[No. Actions Identified]]</f>
        <v>#DIV/0!</v>
      </c>
      <c r="BC120" s="15"/>
      <c r="BD120" s="15"/>
      <c r="BE120" s="17"/>
      <c r="BF120" s="17"/>
      <c r="BG120" s="38"/>
      <c r="BH120" s="38"/>
      <c r="BI120" s="64"/>
      <c r="BJ120" s="64"/>
      <c r="BK120" s="17"/>
      <c r="BL120" s="17"/>
    </row>
    <row r="121" spans="1:64" ht="40.5" customHeight="1">
      <c r="A121" s="32">
        <f>INDEX('Implementation Plan V2 Sep25'!A:A,MATCH(E121,'Implementation Plan V2 Sep25'!F:F,0))</f>
        <v>1</v>
      </c>
      <c r="B121" s="33" t="str">
        <f>INDEX('Implementation Plan V2 Sep25'!C:C,MATCH(E121,'Implementation Plan V2 Sep25'!F:F,0))</f>
        <v>Output 1.1 WRP governance, management and financing mechanisms established, mandated and equipped to coordinate a Pacific-led, integrated, and sustainable programme</v>
      </c>
      <c r="C121" s="33" t="str">
        <f>INDEX('Implementation Plan V2 Sep25'!E:E,MATCH(E121,'Implementation Plan V2 Sep25'!F:F,0))</f>
        <v>1.1.5</v>
      </c>
      <c r="D121" s="33">
        <f>INDEX('Implementation Plan V2 Sep25'!D:D,MATCH(E121,'Implementation Plan V2 Sep25'!F:F,0))</f>
        <v>16</v>
      </c>
      <c r="E121" s="2" t="s">
        <v>29</v>
      </c>
      <c r="F121" s="2" t="s">
        <v>525</v>
      </c>
      <c r="G121" s="2">
        <f>Projects[[#This Row],[Activity Ref]]</f>
        <v>16</v>
      </c>
      <c r="H121" s="2"/>
      <c r="J121" s="2" t="str">
        <f>IF(OR(ISBLANK(Projects[[#This Row],[Task]]),Projects[[#This Row],[Task]]=0),"",CONCATENATE(Projects[[#This Row],[Phase]],Projects[[#This Row],[Task]]))</f>
        <v/>
      </c>
      <c r="K121" s="2"/>
      <c r="S121" s="13"/>
      <c r="V121" s="40">
        <f t="shared" si="8"/>
        <v>0</v>
      </c>
      <c r="W121" s="2"/>
      <c r="X121" s="17"/>
      <c r="Y121" s="17"/>
      <c r="AA121" s="40">
        <f t="shared" si="6"/>
        <v>0</v>
      </c>
      <c r="AB121" s="40" t="str">
        <f>IFERROR(INDEX(#REF!,MATCH(#REF!,#REF!,0)),"")</f>
        <v/>
      </c>
      <c r="AC121" s="40" t="str">
        <f>IFERROR(INDEX(#REF!,MATCH(#REF!,#REF!,0)),"")</f>
        <v/>
      </c>
      <c r="AD121" s="13"/>
      <c r="AE121" s="13"/>
      <c r="AF121" s="13"/>
      <c r="AG121" s="13"/>
      <c r="AQ121" s="40">
        <f>SUM(Projects[[#This Row],[2024 Actual]],Projects[[#This Row],[2025 Actual ]])</f>
        <v>0</v>
      </c>
      <c r="AR121" s="40"/>
      <c r="AS121" s="173" t="str">
        <f>IF(Projects[[#This Row],[WRP Funding Allocated USD]]=0,"-",Projects[[#This Row],[Actual Spend USD]]/Projects[[#This Row],[WRP Funding Allocated USD]])</f>
        <v>-</v>
      </c>
      <c r="AY121" s="150" t="e">
        <f>Projects[[#This Row],[No. Action Completed]]/Projects[[#This Row],[No. Actions Identified]]</f>
        <v>#DIV/0!</v>
      </c>
      <c r="BC121" s="15"/>
      <c r="BD121" s="15"/>
      <c r="BE121" s="17"/>
      <c r="BF121" s="17"/>
      <c r="BG121" s="38"/>
      <c r="BH121" s="38"/>
      <c r="BI121" s="64"/>
      <c r="BJ121" s="64"/>
      <c r="BK121" s="17"/>
      <c r="BL121" s="17"/>
    </row>
    <row r="122" spans="1:64" ht="40.5" customHeight="1">
      <c r="A122" s="32">
        <f>INDEX('Implementation Plan V2 Sep25'!A:A,MATCH(E122,'Implementation Plan V2 Sep25'!F:F,0))</f>
        <v>4</v>
      </c>
      <c r="B122" s="33" t="str">
        <f>INDEX('Implementation Plan V2 Sep25'!C:C,MATCH(E122,'Implementation Plan V2 Sep25'!F:F,0))</f>
        <v>OP4.2 Pacific forecasting capacity expanded and maintained</v>
      </c>
      <c r="C122" s="33" t="str">
        <f>INDEX('Implementation Plan V2 Sep25'!E:E,MATCH(E122,'Implementation Plan V2 Sep25'!F:F,0))</f>
        <v>4.2.1</v>
      </c>
      <c r="D122" s="33">
        <f>INDEX('Implementation Plan V2 Sep25'!D:D,MATCH(E122,'Implementation Plan V2 Sep25'!F:F,0))</f>
        <v>42</v>
      </c>
      <c r="E122" s="2" t="s">
        <v>104</v>
      </c>
      <c r="F122" s="2" t="s">
        <v>526</v>
      </c>
      <c r="G122" s="2">
        <f>Projects[[#This Row],[Activity Ref]]</f>
        <v>42</v>
      </c>
      <c r="H122" s="2"/>
      <c r="J122" s="2" t="str">
        <f>IF(OR(ISBLANK(Projects[[#This Row],[Task]]),Projects[[#This Row],[Task]]=0),"",CONCATENATE(Projects[[#This Row],[Phase]],Projects[[#This Row],[Task]]))</f>
        <v/>
      </c>
      <c r="K122" s="2"/>
      <c r="S122" s="13"/>
      <c r="V122" s="40">
        <f t="shared" si="8"/>
        <v>0</v>
      </c>
      <c r="W122" s="2"/>
      <c r="X122" s="17"/>
      <c r="Y122" s="17"/>
      <c r="AA122" s="40">
        <f t="shared" si="6"/>
        <v>0</v>
      </c>
      <c r="AB122" s="40" t="str">
        <f>IFERROR(INDEX(#REF!,MATCH(#REF!,#REF!,0)),"")</f>
        <v/>
      </c>
      <c r="AC122" s="40" t="str">
        <f>IFERROR(INDEX(#REF!,MATCH(#REF!,#REF!,0)),"")</f>
        <v/>
      </c>
      <c r="AD122" s="13"/>
      <c r="AE122" s="13"/>
      <c r="AF122" s="13"/>
      <c r="AG122" s="13"/>
      <c r="AQ122" s="40">
        <f>SUM(Projects[[#This Row],[2024 Actual]],Projects[[#This Row],[2025 Actual ]])</f>
        <v>0</v>
      </c>
      <c r="AR122" s="40"/>
      <c r="AS122" s="173" t="str">
        <f>IF(Projects[[#This Row],[WRP Funding Allocated USD]]=0,"-",Projects[[#This Row],[Actual Spend USD]]/Projects[[#This Row],[WRP Funding Allocated USD]])</f>
        <v>-</v>
      </c>
      <c r="AY122" s="150" t="e">
        <f>Projects[[#This Row],[No. Action Completed]]/Projects[[#This Row],[No. Actions Identified]]</f>
        <v>#DIV/0!</v>
      </c>
      <c r="BC122" s="15"/>
      <c r="BD122" s="15"/>
      <c r="BE122" s="17"/>
      <c r="BF122" s="17"/>
      <c r="BG122" s="38"/>
      <c r="BH122" s="38"/>
      <c r="BI122" s="64"/>
      <c r="BJ122" s="64"/>
      <c r="BK122" s="17"/>
      <c r="BL122" s="17"/>
    </row>
    <row r="123" spans="1:64" ht="40.5" customHeight="1">
      <c r="A123" s="32">
        <f>INDEX('Implementation Plan V2 Sep25'!A:A,MATCH(E123,'Implementation Plan V2 Sep25'!F:F,0))</f>
        <v>5</v>
      </c>
      <c r="B123" s="33" t="str">
        <f>INDEX('Implementation Plan V2 Sep25'!C:C,MATCH(E123,'Implementation Plan V2 Sep25'!F:F,0))</f>
        <v>Output 5.1 Pacific capacity and collaborative approaches to deliver locally-relevant, impact-based, inclusive and accessible forecasts and warnings for end users strengthened and sustained</v>
      </c>
      <c r="C123" s="33" t="str">
        <f>INDEX('Implementation Plan V2 Sep25'!E:E,MATCH(E123,'Implementation Plan V2 Sep25'!F:F,0))</f>
        <v>5.1.5</v>
      </c>
      <c r="D123" s="33">
        <f>INDEX('Implementation Plan V2 Sep25'!D:D,MATCH(E123,'Implementation Plan V2 Sep25'!F:F,0))</f>
        <v>55</v>
      </c>
      <c r="E123" s="2" t="s">
        <v>136</v>
      </c>
      <c r="F123" s="2" t="s">
        <v>527</v>
      </c>
      <c r="G123" s="2">
        <f>Projects[[#This Row],[Activity Ref]]</f>
        <v>55</v>
      </c>
      <c r="H123" s="2"/>
      <c r="J123" s="2" t="str">
        <f>IF(OR(ISBLANK(Projects[[#This Row],[Task]]),Projects[[#This Row],[Task]]=0),"",CONCATENATE(Projects[[#This Row],[Phase]],Projects[[#This Row],[Task]]))</f>
        <v/>
      </c>
      <c r="K123" s="2"/>
      <c r="S123" s="13"/>
      <c r="V123" s="40">
        <f t="shared" si="8"/>
        <v>0</v>
      </c>
      <c r="W123" s="2"/>
      <c r="X123" s="17"/>
      <c r="Y123" s="17"/>
      <c r="AA123" s="40">
        <f t="shared" si="6"/>
        <v>0</v>
      </c>
      <c r="AB123" s="40" t="str">
        <f>IFERROR(INDEX(#REF!,MATCH(#REF!,#REF!,0)),"")</f>
        <v/>
      </c>
      <c r="AC123" s="40" t="str">
        <f>IFERROR(INDEX(#REF!,MATCH(#REF!,#REF!,0)),"")</f>
        <v/>
      </c>
      <c r="AD123" s="13"/>
      <c r="AE123" s="13"/>
      <c r="AF123" s="13"/>
      <c r="AG123" s="13"/>
      <c r="AQ123" s="40">
        <f>SUM(Projects[[#This Row],[2024 Actual]],Projects[[#This Row],[2025 Actual ]])</f>
        <v>0</v>
      </c>
      <c r="AR123" s="40"/>
      <c r="AS123" s="173" t="str">
        <f>IF(Projects[[#This Row],[WRP Funding Allocated USD]]=0,"-",Projects[[#This Row],[Actual Spend USD]]/Projects[[#This Row],[WRP Funding Allocated USD]])</f>
        <v>-</v>
      </c>
      <c r="AY123" s="150" t="e">
        <f>Projects[[#This Row],[No. Action Completed]]/Projects[[#This Row],[No. Actions Identified]]</f>
        <v>#DIV/0!</v>
      </c>
      <c r="BC123" s="15"/>
      <c r="BD123" s="15"/>
      <c r="BE123" s="17"/>
      <c r="BF123" s="17"/>
      <c r="BG123" s="38"/>
      <c r="BH123" s="38"/>
      <c r="BI123" s="64"/>
      <c r="BJ123" s="64"/>
      <c r="BK123" s="17"/>
      <c r="BL123" s="17"/>
    </row>
    <row r="124" spans="1:64" ht="40.5" customHeight="1">
      <c r="A124" s="32" t="e">
        <f>INDEX('Implementation Plan V2 Sep25'!A:A,MATCH(E124,'Implementation Plan V2 Sep25'!F:F,0))</f>
        <v>#N/A</v>
      </c>
      <c r="B124" s="33" t="e">
        <f>INDEX('Implementation Plan V2 Sep25'!C:C,MATCH(E124,'Implementation Plan V2 Sep25'!F:F,0))</f>
        <v>#N/A</v>
      </c>
      <c r="C124" s="33" t="e">
        <f>INDEX('Implementation Plan V2 Sep25'!E:E,MATCH(E124,'Implementation Plan V2 Sep25'!F:F,0))</f>
        <v>#N/A</v>
      </c>
      <c r="D124" s="33" t="e">
        <f>INDEX('Implementation Plan V2 Sep25'!D:D,MATCH(E124,'Implementation Plan V2 Sep25'!F:F,0))</f>
        <v>#N/A</v>
      </c>
      <c r="F124" s="2"/>
      <c r="G124" s="2" t="e">
        <f>Projects[[#This Row],[Activity Ref]]</f>
        <v>#N/A</v>
      </c>
      <c r="H124" s="2"/>
      <c r="J124" s="2" t="str">
        <f>IF(OR(ISBLANK(Projects[[#This Row],[Task]]),Projects[[#This Row],[Task]]=0),"",CONCATENATE(Projects[[#This Row],[Phase]],Projects[[#This Row],[Task]]))</f>
        <v/>
      </c>
      <c r="K124" s="2"/>
      <c r="S124" s="13"/>
      <c r="V124" s="40">
        <f t="shared" si="8"/>
        <v>0</v>
      </c>
      <c r="W124" s="2"/>
      <c r="X124" s="17"/>
      <c r="Y124" s="17"/>
      <c r="AA124" s="40">
        <f t="shared" si="6"/>
        <v>0</v>
      </c>
      <c r="AB124" s="40" t="str">
        <f>IFERROR(INDEX(#REF!,MATCH(#REF!,#REF!,0)),"")</f>
        <v/>
      </c>
      <c r="AC124" s="40" t="str">
        <f>IFERROR(INDEX(#REF!,MATCH(#REF!,#REF!,0)),"")</f>
        <v/>
      </c>
      <c r="AD124" s="13"/>
      <c r="AE124" s="13"/>
      <c r="AF124" s="13"/>
      <c r="AG124" s="13"/>
      <c r="AQ124" s="40">
        <f>SUM(Projects[[#This Row],[2024 Actual]],Projects[[#This Row],[2025 Actual ]])</f>
        <v>0</v>
      </c>
      <c r="AR124" s="40"/>
      <c r="AS124" s="173" t="str">
        <f>IF(Projects[[#This Row],[WRP Funding Allocated USD]]=0,"-",Projects[[#This Row],[Actual Spend USD]]/Projects[[#This Row],[WRP Funding Allocated USD]])</f>
        <v>-</v>
      </c>
      <c r="AY124" s="150" t="e">
        <f>Projects[[#This Row],[No. Action Completed]]/Projects[[#This Row],[No. Actions Identified]]</f>
        <v>#DIV/0!</v>
      </c>
      <c r="BC124" s="15"/>
      <c r="BD124" s="15"/>
      <c r="BE124" s="17"/>
      <c r="BF124" s="17"/>
      <c r="BG124" s="38"/>
      <c r="BH124" s="38"/>
      <c r="BI124" s="64"/>
      <c r="BJ124" s="64"/>
      <c r="BK124" s="17"/>
      <c r="BL124" s="17"/>
    </row>
    <row r="125" spans="1:64" ht="57" customHeight="1">
      <c r="A125" s="32" t="e">
        <f>INDEX('Implementation Plan V2 Sep25'!A:A,MATCH(E125,'Implementation Plan V2 Sep25'!F:F,0))</f>
        <v>#N/A</v>
      </c>
      <c r="B125" s="33" t="e">
        <f>INDEX('Implementation Plan V2 Sep25'!C:C,MATCH(E125,'Implementation Plan V2 Sep25'!F:F,0))</f>
        <v>#N/A</v>
      </c>
      <c r="C125" s="33" t="e">
        <f>INDEX('Implementation Plan V2 Sep25'!E:E,MATCH(E125,'Implementation Plan V2 Sep25'!F:F,0))</f>
        <v>#N/A</v>
      </c>
      <c r="D125" s="33" t="e">
        <f>INDEX('Implementation Plan V2 Sep25'!D:D,MATCH(E125,'Implementation Plan V2 Sep25'!F:F,0))</f>
        <v>#N/A</v>
      </c>
      <c r="F125" s="2"/>
      <c r="G125" s="2" t="e">
        <f>Projects[[#This Row],[Activity Ref]]</f>
        <v>#N/A</v>
      </c>
      <c r="H125" s="2"/>
      <c r="J125" s="2" t="str">
        <f>IF(OR(ISBLANK(Projects[[#This Row],[Task]]),Projects[[#This Row],[Task]]=0),"",CONCATENATE(Projects[[#This Row],[Phase]],Projects[[#This Row],[Task]]))</f>
        <v/>
      </c>
      <c r="K125" s="2"/>
      <c r="S125" s="13"/>
      <c r="V125" s="40">
        <f t="shared" si="8"/>
        <v>0</v>
      </c>
      <c r="W125" s="2"/>
      <c r="X125" s="17"/>
      <c r="Y125" s="17"/>
      <c r="AA125" s="40">
        <f t="shared" si="6"/>
        <v>0</v>
      </c>
      <c r="AB125" s="40" t="str">
        <f>IFERROR(INDEX(#REF!,MATCH(#REF!,#REF!,0)),"")</f>
        <v/>
      </c>
      <c r="AC125" s="40" t="str">
        <f>IFERROR(INDEX(#REF!,MATCH(#REF!,#REF!,0)),"")</f>
        <v/>
      </c>
      <c r="AD125" s="13"/>
      <c r="AE125" s="13"/>
      <c r="AF125" s="13"/>
      <c r="AG125" s="13"/>
      <c r="AQ125" s="40">
        <f>SUM(Projects[[#This Row],[2024 Actual]],Projects[[#This Row],[2025 Actual ]])</f>
        <v>0</v>
      </c>
      <c r="AR125" s="40"/>
      <c r="AS125" s="173" t="str">
        <f>IF(Projects[[#This Row],[WRP Funding Allocated USD]]=0,"-",Projects[[#This Row],[Actual Spend USD]]/Projects[[#This Row],[WRP Funding Allocated USD]])</f>
        <v>-</v>
      </c>
      <c r="AY125" s="150" t="e">
        <f>Projects[[#This Row],[No. Action Completed]]/Projects[[#This Row],[No. Actions Identified]]</f>
        <v>#DIV/0!</v>
      </c>
      <c r="BC125" s="15"/>
      <c r="BD125" s="15"/>
      <c r="BE125" s="17"/>
      <c r="BF125" s="17"/>
      <c r="BG125" s="38"/>
      <c r="BH125" s="38"/>
      <c r="BI125" s="64"/>
      <c r="BJ125" s="64"/>
      <c r="BK125" s="17"/>
      <c r="BL125" s="17"/>
    </row>
  </sheetData>
  <sheetProtection formatCells="0" formatColumns="0" formatRows="0" autoFilter="0" pivotTables="0"/>
  <protectedRanges>
    <protectedRange sqref="AP1:AP1048576 AT1:AT1048576 BE1:BE1048576 BG1:BG1048576 BI1:BI1048576 BK1:BK2 BK4:BK1048576" name="monthly reporting"/>
    <protectedRange sqref="AU1:BD1048576" name="biannual reporting"/>
  </protectedRanges>
  <phoneticPr fontId="4" type="noConversion"/>
  <conditionalFormatting sqref="BE2:BE125">
    <cfRule type="cellIs" dxfId="84" priority="1" operator="equal">
      <formula>"4 Implementation In Progress"</formula>
    </cfRule>
    <cfRule type="cellIs" dxfId="83" priority="2" operator="equal">
      <formula>"3 Agreement"</formula>
    </cfRule>
    <cfRule type="cellIs" dxfId="82" priority="3" operator="equal">
      <formula>"2 Appraisal"</formula>
    </cfRule>
    <cfRule type="cellIs" dxfId="81" priority="4" operator="equal">
      <formula>"5 Completion Evaluation"</formula>
    </cfRule>
    <cfRule type="cellIs" dxfId="80" priority="5" operator="equal">
      <formula>"1 Concept"</formula>
    </cfRule>
  </conditionalFormatting>
  <conditionalFormatting sqref="BF2:BF125">
    <cfRule type="cellIs" dxfId="79" priority="9" operator="equal">
      <formula>"4 Implementation In Progress"</formula>
    </cfRule>
    <cfRule type="cellIs" dxfId="78" priority="10" operator="equal">
      <formula>"3 Agreement"</formula>
    </cfRule>
    <cfRule type="cellIs" dxfId="77" priority="11" operator="equal">
      <formula>"2 Appraisal"</formula>
    </cfRule>
    <cfRule type="cellIs" dxfId="76" priority="20" operator="equal">
      <formula>"5 Completion Evaluation"</formula>
    </cfRule>
    <cfRule type="cellIs" dxfId="75" priority="22" operator="equal">
      <formula>"1 Concept"</formula>
    </cfRule>
  </conditionalFormatting>
  <conditionalFormatting sqref="BI2:BI125">
    <cfRule type="containsText" dxfId="74" priority="6" operator="containsText" text="Amber">
      <formula>NOT(ISERROR(SEARCH("Amber",BI2)))</formula>
    </cfRule>
    <cfRule type="containsText" dxfId="73" priority="7" operator="containsText" text="Red">
      <formula>NOT(ISERROR(SEARCH("Red",BI2)))</formula>
    </cfRule>
    <cfRule type="containsText" dxfId="72" priority="8" operator="containsText" text="Green">
      <formula>NOT(ISERROR(SEARCH("Green",BI2)))</formula>
    </cfRule>
  </conditionalFormatting>
  <conditionalFormatting sqref="BJ2:BJ125">
    <cfRule type="containsText" dxfId="71" priority="12" operator="containsText" text="Amber">
      <formula>NOT(ISERROR(SEARCH("Amber",BJ2)))</formula>
    </cfRule>
    <cfRule type="containsText" dxfId="70" priority="13" operator="containsText" text="Red">
      <formula>NOT(ISERROR(SEARCH("Red",BJ2)))</formula>
    </cfRule>
    <cfRule type="containsText" dxfId="69" priority="14" operator="containsText" text="Green">
      <formula>NOT(ISERROR(SEARCH("Green",BJ2)))</formula>
    </cfRule>
  </conditionalFormatting>
  <dataValidations count="7">
    <dataValidation type="list" allowBlank="1" showInputMessage="1" showErrorMessage="1" sqref="BE1" xr:uid="{8A266C87-BEF5-48DD-B952-CA7D19486200}">
      <formula1>"Progress, Not Started, Paused, In Progress, Delayed, Completed, Cancelled"</formula1>
    </dataValidation>
    <dataValidation allowBlank="1" showInputMessage="1" showErrorMessage="1" sqref="S54 S56:S61 S63:S64 AW1:AY1048576 S97:S1048576 S1:S52 BI2:BJ125 BF1 S66:S95" xr:uid="{FA4CC9AA-EF52-4B63-9F88-7C9ABAEBA4C0}"/>
    <dataValidation type="list" allowBlank="1" showInputMessage="1" showErrorMessage="1" sqref="K1 K126:K1048576" xr:uid="{00000000-0002-0000-0000-000001000000}">
      <formula1>"Small, Major, Staff, External"</formula1>
    </dataValidation>
    <dataValidation type="list" allowBlank="1" showInputMessage="1" showErrorMessage="1" sqref="BE2:BF125" xr:uid="{9EA569E0-D292-421D-97B1-80BB19A7A6D2}">
      <formula1>"Progress, Not Started, Paused, Cancelled, 1 Concept, 2 Appraisal, 3 Agreement, 4 Implementation In Progress, 5 Completion Evaluation"</formula1>
    </dataValidation>
    <dataValidation type="list" allowBlank="1" showInputMessage="1" showErrorMessage="1" sqref="K2:K125" xr:uid="{0C4CD10B-EFBB-4604-B313-B4C080BC3545}">
      <formula1>"Standard, Major, Staff, External"</formula1>
    </dataValidation>
    <dataValidation type="list" allowBlank="1" showInputMessage="1" showErrorMessage="1" sqref="BC2:BC125 AV2:AV125" xr:uid="{175010E7-A2AE-446F-8253-51BBA4E2D864}">
      <formula1>"Y,N"</formula1>
    </dataValidation>
    <dataValidation type="list" allowBlank="1" showInputMessage="1" showErrorMessage="1" sqref="U2:U125" xr:uid="{444E4267-3FF5-4A0B-9413-F4167137D85A}">
      <formula1>"Funding Modality, Pooled, Ring-Fenced, Other Support"</formula1>
    </dataValidation>
  </dataValidations>
  <hyperlinks>
    <hyperlink ref="I10" r:id="rId1" display="2501" xr:uid="{00000000-0004-0000-0000-000000000000}"/>
    <hyperlink ref="I96" r:id="rId2" display="2502" xr:uid="{00000000-0004-0000-0000-000001000000}"/>
    <hyperlink ref="I103" r:id="rId3" display="2503" xr:uid="{00000000-0004-0000-0000-000002000000}"/>
    <hyperlink ref="I58" r:id="rId4" display="2504" xr:uid="{00000000-0004-0000-0000-000003000000}"/>
    <hyperlink ref="I14" r:id="rId5" display="2509" xr:uid="{D803EF54-61C7-459A-90FE-BC48EE4FCC07}"/>
  </hyperlinks>
  <pageMargins left="0.7" right="0.7" top="0.75" bottom="0.75" header="0.3" footer="0.3"/>
  <pageSetup orientation="portrait" r:id="rId6"/>
  <legacyDrawing r:id="rId7"/>
  <tableParts count="1">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'Implementation Plan V2 Sep25'!$F:$F</xm:f>
          </x14:formula1>
          <xm:sqref>E1:E1048576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A241"/>
  <sheetViews>
    <sheetView topLeftCell="A58" zoomScale="90" zoomScaleNormal="90" workbookViewId="0">
      <selection activeCell="E8" sqref="E8"/>
    </sheetView>
  </sheetViews>
  <sheetFormatPr defaultColWidth="9.7109375" defaultRowHeight="14.25"/>
  <cols>
    <col min="1" max="1" width="4.28515625" style="1" customWidth="1"/>
    <col min="2" max="2" width="8.5703125" style="2" customWidth="1"/>
    <col min="3" max="3" width="9.28515625" style="2" customWidth="1"/>
    <col min="4" max="4" width="29.42578125" style="1" customWidth="1"/>
    <col min="5" max="5" width="50.28515625" style="1" customWidth="1"/>
    <col min="6" max="6" width="14.42578125" style="1" customWidth="1"/>
    <col min="7" max="7" width="12.5703125" style="1" customWidth="1"/>
    <col min="8" max="8" width="11.42578125" style="38" customWidth="1"/>
    <col min="9" max="9" width="13.5703125" style="1" customWidth="1"/>
    <col min="10" max="10" width="24.140625" style="1" customWidth="1"/>
    <col min="11" max="11" width="11.7109375" style="1" bestFit="1" customWidth="1"/>
    <col min="12" max="12" width="15.7109375" style="1" customWidth="1"/>
    <col min="13" max="13" width="12.85546875" style="1" customWidth="1"/>
    <col min="14" max="14" width="12.7109375" style="1" customWidth="1"/>
    <col min="15" max="15" width="12" style="1" customWidth="1"/>
    <col min="16" max="16" width="15.42578125" style="1" customWidth="1"/>
    <col min="17" max="18" width="1.5703125" style="1" customWidth="1"/>
    <col min="19" max="19" width="13" style="1" hidden="1" customWidth="1"/>
    <col min="20" max="20" width="12.7109375" style="1" hidden="1" customWidth="1"/>
    <col min="21" max="26" width="9.7109375" style="1"/>
    <col min="27" max="27" width="14" style="1" customWidth="1"/>
    <col min="28" max="16384" width="9.7109375" style="1"/>
  </cols>
  <sheetData>
    <row r="1" spans="2:27" ht="21">
      <c r="B1" s="29" t="s">
        <v>528</v>
      </c>
    </row>
    <row r="2" spans="2:27">
      <c r="B2"/>
      <c r="C2" s="36"/>
      <c r="O2"/>
      <c r="Z2" s="120"/>
      <c r="AA2" s="121"/>
    </row>
    <row r="3" spans="2:27" ht="29.25">
      <c r="B3" s="23" t="s">
        <v>159</v>
      </c>
      <c r="C3" s="2" t="s">
        <v>529</v>
      </c>
      <c r="D3" s="4" t="s">
        <v>530</v>
      </c>
      <c r="E3" s="156" t="s">
        <v>531</v>
      </c>
      <c r="I3" s="172" t="s">
        <v>532</v>
      </c>
      <c r="N3" s="34"/>
      <c r="O3"/>
      <c r="Z3" s="120"/>
      <c r="AA3" s="119"/>
    </row>
    <row r="4" spans="2:27" s="41" customFormat="1">
      <c r="B4" s="49"/>
      <c r="C4" s="48"/>
      <c r="D4" s="42"/>
      <c r="E4" s="42"/>
      <c r="F4" s="42"/>
      <c r="G4" s="42"/>
      <c r="H4" s="146"/>
      <c r="I4" s="42"/>
      <c r="J4" s="42"/>
      <c r="K4" s="42"/>
      <c r="L4" s="42"/>
      <c r="M4" s="42"/>
      <c r="N4" s="42"/>
      <c r="O4" s="42"/>
      <c r="S4" s="41" t="s">
        <v>533</v>
      </c>
    </row>
    <row r="5" spans="2:27" ht="15">
      <c r="D5" s="2"/>
      <c r="E5" s="2"/>
      <c r="F5" s="2"/>
      <c r="G5" s="2"/>
      <c r="H5" s="2"/>
      <c r="I5" s="23" t="s">
        <v>534</v>
      </c>
      <c r="J5" s="2"/>
      <c r="K5" s="2"/>
      <c r="L5" s="2"/>
      <c r="M5" s="2"/>
      <c r="N5" s="2"/>
      <c r="O5" s="2"/>
      <c r="P5"/>
      <c r="Q5"/>
      <c r="R5"/>
      <c r="S5" s="186">
        <f>SUM(S7:S106)</f>
        <v>30309325</v>
      </c>
      <c r="T5"/>
      <c r="U5"/>
    </row>
    <row r="6" spans="2:27" ht="57.75">
      <c r="B6" s="23" t="s">
        <v>0</v>
      </c>
      <c r="C6" s="23" t="s">
        <v>2</v>
      </c>
      <c r="D6" s="23" t="s">
        <v>3</v>
      </c>
      <c r="E6" s="23" t="s">
        <v>155</v>
      </c>
      <c r="F6" s="23" t="s">
        <v>174</v>
      </c>
      <c r="G6" s="23" t="s">
        <v>160</v>
      </c>
      <c r="H6" s="23" t="s">
        <v>169</v>
      </c>
      <c r="I6" s="2" t="s">
        <v>535</v>
      </c>
      <c r="J6" s="2" t="s">
        <v>536</v>
      </c>
      <c r="K6" s="2" t="s">
        <v>537</v>
      </c>
      <c r="L6" s="2" t="s">
        <v>538</v>
      </c>
      <c r="M6" s="2" t="s">
        <v>539</v>
      </c>
      <c r="N6" s="2" t="s">
        <v>540</v>
      </c>
      <c r="O6" s="2" t="s">
        <v>541</v>
      </c>
      <c r="P6"/>
      <c r="Q6"/>
      <c r="R6"/>
      <c r="S6"/>
      <c r="T6"/>
      <c r="U6"/>
    </row>
    <row r="7" spans="2:27" ht="29.25">
      <c r="B7" s="252">
        <v>1</v>
      </c>
      <c r="C7" s="2" t="s">
        <v>15</v>
      </c>
      <c r="D7" s="2" t="s">
        <v>16</v>
      </c>
      <c r="E7" s="2" t="s">
        <v>287</v>
      </c>
      <c r="F7" s="2" t="s">
        <v>233</v>
      </c>
      <c r="G7" s="2" t="s">
        <v>229</v>
      </c>
      <c r="H7" s="2" t="s">
        <v>232</v>
      </c>
      <c r="I7" s="17"/>
      <c r="J7" s="17">
        <v>4758.2299999999996</v>
      </c>
      <c r="K7" s="17">
        <v>20000</v>
      </c>
      <c r="L7" s="17">
        <v>10000</v>
      </c>
      <c r="M7" s="17"/>
      <c r="N7" s="17"/>
      <c r="O7" s="17">
        <v>34758.229999999996</v>
      </c>
      <c r="P7"/>
      <c r="Q7"/>
      <c r="R7"/>
      <c r="S7"/>
      <c r="T7"/>
      <c r="U7"/>
    </row>
    <row r="8" spans="2:27" ht="29.25">
      <c r="B8" s="252"/>
      <c r="D8" s="2"/>
      <c r="E8" s="2" t="s">
        <v>326</v>
      </c>
      <c r="F8" s="2" t="s">
        <v>327</v>
      </c>
      <c r="G8" s="2" t="s">
        <v>229</v>
      </c>
      <c r="H8" s="2" t="s">
        <v>217</v>
      </c>
      <c r="I8" s="17"/>
      <c r="J8" s="17">
        <v>75000</v>
      </c>
      <c r="K8" s="17"/>
      <c r="L8" s="17"/>
      <c r="M8" s="17"/>
      <c r="N8" s="17"/>
      <c r="O8" s="17">
        <v>75000</v>
      </c>
      <c r="P8"/>
      <c r="Q8"/>
      <c r="R8"/>
      <c r="S8"/>
      <c r="T8"/>
      <c r="U8"/>
    </row>
    <row r="9" spans="2:27" ht="29.25">
      <c r="B9" s="252"/>
      <c r="D9" s="2"/>
      <c r="E9" s="2" t="s">
        <v>227</v>
      </c>
      <c r="F9" s="2" t="s">
        <v>233</v>
      </c>
      <c r="G9" s="2" t="s">
        <v>229</v>
      </c>
      <c r="H9" s="2" t="s">
        <v>232</v>
      </c>
      <c r="I9" s="17"/>
      <c r="J9" s="17"/>
      <c r="K9" s="17">
        <v>54069.565217391311</v>
      </c>
      <c r="L9" s="17"/>
      <c r="M9" s="17"/>
      <c r="N9" s="17"/>
      <c r="O9" s="17">
        <v>54069.565217391311</v>
      </c>
      <c r="P9"/>
      <c r="Q9"/>
      <c r="R9"/>
      <c r="S9"/>
      <c r="T9"/>
      <c r="U9"/>
    </row>
    <row r="10" spans="2:27" ht="15.75">
      <c r="B10" s="252"/>
      <c r="D10" s="2"/>
      <c r="E10" s="2" t="s">
        <v>459</v>
      </c>
      <c r="F10" s="2" t="s">
        <v>248</v>
      </c>
      <c r="G10" s="2" t="s">
        <v>229</v>
      </c>
      <c r="H10" s="2" t="s">
        <v>232</v>
      </c>
      <c r="I10" s="17"/>
      <c r="J10" s="17"/>
      <c r="K10" s="17">
        <v>50000</v>
      </c>
      <c r="L10" s="17"/>
      <c r="M10" s="17"/>
      <c r="N10" s="17"/>
      <c r="O10" s="17">
        <v>50000</v>
      </c>
      <c r="P10"/>
      <c r="Q10"/>
      <c r="R10"/>
      <c r="S10"/>
      <c r="T10"/>
      <c r="U10"/>
    </row>
    <row r="11" spans="2:27" ht="15.75">
      <c r="B11" s="252"/>
      <c r="D11" s="2"/>
      <c r="E11" s="2" t="s">
        <v>462</v>
      </c>
      <c r="F11" s="2" t="s">
        <v>248</v>
      </c>
      <c r="G11" s="2" t="s">
        <v>229</v>
      </c>
      <c r="H11" s="2" t="s">
        <v>232</v>
      </c>
      <c r="I11" s="17"/>
      <c r="J11" s="17"/>
      <c r="K11" s="17">
        <v>25000</v>
      </c>
      <c r="L11" s="17"/>
      <c r="M11" s="17"/>
      <c r="N11" s="17"/>
      <c r="O11" s="17">
        <v>25000</v>
      </c>
      <c r="P11"/>
      <c r="Q11"/>
      <c r="R11"/>
      <c r="S11" s="187">
        <v>2000000</v>
      </c>
      <c r="T11" t="s">
        <v>542</v>
      </c>
      <c r="U11"/>
    </row>
    <row r="12" spans="2:27" ht="29.25">
      <c r="B12" s="252"/>
      <c r="D12" s="2"/>
      <c r="E12" s="2" t="s">
        <v>465</v>
      </c>
      <c r="F12" s="2" t="s">
        <v>248</v>
      </c>
      <c r="G12" s="2" t="s">
        <v>229</v>
      </c>
      <c r="H12" s="2" t="s">
        <v>232</v>
      </c>
      <c r="I12" s="17"/>
      <c r="J12" s="17">
        <v>38727</v>
      </c>
      <c r="K12" s="17">
        <v>61273</v>
      </c>
      <c r="L12" s="17"/>
      <c r="M12" s="17"/>
      <c r="N12" s="17"/>
      <c r="O12" s="17">
        <v>100000</v>
      </c>
      <c r="P12"/>
      <c r="Q12"/>
      <c r="R12"/>
      <c r="U12"/>
    </row>
    <row r="13" spans="2:27" ht="15.75">
      <c r="B13" s="252"/>
      <c r="D13" s="2"/>
      <c r="E13" s="2" t="s">
        <v>456</v>
      </c>
      <c r="F13" s="2" t="s">
        <v>248</v>
      </c>
      <c r="G13" s="2" t="s">
        <v>229</v>
      </c>
      <c r="H13" s="2" t="s">
        <v>232</v>
      </c>
      <c r="I13" s="17"/>
      <c r="J13" s="17"/>
      <c r="K13" s="17">
        <v>0</v>
      </c>
      <c r="L13" s="17"/>
      <c r="M13" s="17"/>
      <c r="N13" s="17"/>
      <c r="O13" s="17">
        <v>0</v>
      </c>
      <c r="P13"/>
      <c r="Q13"/>
      <c r="R13"/>
      <c r="S13"/>
      <c r="T13"/>
      <c r="U13"/>
    </row>
    <row r="14" spans="2:27" ht="29.25">
      <c r="B14" s="252"/>
      <c r="C14" s="2" t="s">
        <v>18</v>
      </c>
      <c r="D14" s="2" t="s">
        <v>19</v>
      </c>
      <c r="E14" s="251" t="s">
        <v>543</v>
      </c>
      <c r="F14" s="2" t="s">
        <v>346</v>
      </c>
      <c r="G14" s="2" t="s">
        <v>229</v>
      </c>
      <c r="H14" s="2" t="s">
        <v>232</v>
      </c>
      <c r="I14" s="17">
        <v>41332.18</v>
      </c>
      <c r="J14" s="17">
        <v>0</v>
      </c>
      <c r="K14" s="17">
        <v>50000</v>
      </c>
      <c r="L14" s="17">
        <v>47919.299999999996</v>
      </c>
      <c r="M14" s="17">
        <v>100000</v>
      </c>
      <c r="N14" s="17"/>
      <c r="O14" s="17">
        <v>239251.47999999998</v>
      </c>
      <c r="P14"/>
      <c r="Q14"/>
      <c r="R14"/>
      <c r="S14" s="184">
        <v>200000</v>
      </c>
      <c r="T14"/>
      <c r="U14"/>
    </row>
    <row r="15" spans="2:27" ht="15.75">
      <c r="B15" s="252"/>
      <c r="D15" s="2"/>
      <c r="E15" s="2"/>
      <c r="F15" s="2" t="s">
        <v>233</v>
      </c>
      <c r="G15" s="2" t="s">
        <v>229</v>
      </c>
      <c r="H15" s="2" t="s">
        <v>232</v>
      </c>
      <c r="I15" s="17"/>
      <c r="J15" s="17">
        <v>96456.640000000014</v>
      </c>
      <c r="K15" s="17">
        <v>83807.826086956527</v>
      </c>
      <c r="L15" s="17"/>
      <c r="M15" s="17"/>
      <c r="N15" s="17"/>
      <c r="O15" s="17">
        <v>180264.46608695656</v>
      </c>
      <c r="P15"/>
      <c r="Q15"/>
      <c r="R15"/>
      <c r="S15"/>
      <c r="T15"/>
      <c r="U15"/>
    </row>
    <row r="16" spans="2:27" ht="29.25">
      <c r="B16" s="252"/>
      <c r="D16" s="2"/>
      <c r="E16" s="2" t="s">
        <v>544</v>
      </c>
      <c r="F16" s="2" t="s">
        <v>346</v>
      </c>
      <c r="G16" s="2" t="s">
        <v>229</v>
      </c>
      <c r="H16" s="2" t="s">
        <v>232</v>
      </c>
      <c r="I16" s="17">
        <v>21803.49</v>
      </c>
      <c r="J16" s="17">
        <v>19310.21</v>
      </c>
      <c r="K16" s="17">
        <v>37620</v>
      </c>
      <c r="L16" s="17">
        <v>36400</v>
      </c>
      <c r="M16" s="17">
        <v>36400</v>
      </c>
      <c r="N16" s="17">
        <v>36400</v>
      </c>
      <c r="O16" s="17">
        <v>187933.7</v>
      </c>
      <c r="P16"/>
      <c r="Q16"/>
      <c r="R16"/>
      <c r="S16"/>
      <c r="T16"/>
      <c r="U16"/>
    </row>
    <row r="17" spans="2:21" ht="29.25">
      <c r="B17" s="252"/>
      <c r="D17" s="2"/>
      <c r="E17" s="2" t="s">
        <v>223</v>
      </c>
      <c r="F17" s="2" t="s">
        <v>218</v>
      </c>
      <c r="G17" s="2" t="s">
        <v>225</v>
      </c>
      <c r="H17" s="2" t="s">
        <v>217</v>
      </c>
      <c r="I17" s="17">
        <v>160871</v>
      </c>
      <c r="J17" s="17">
        <v>260376</v>
      </c>
      <c r="K17" s="17">
        <v>30000</v>
      </c>
      <c r="L17" s="17">
        <v>13406</v>
      </c>
      <c r="M17" s="17"/>
      <c r="N17" s="17"/>
      <c r="O17" s="17">
        <v>464653</v>
      </c>
      <c r="P17"/>
      <c r="Q17"/>
      <c r="R17"/>
      <c r="S17"/>
      <c r="T17"/>
      <c r="U17"/>
    </row>
    <row r="18" spans="2:21" ht="15.75">
      <c r="B18" s="252"/>
      <c r="D18" s="2"/>
      <c r="E18" s="251" t="s">
        <v>284</v>
      </c>
      <c r="F18" s="2" t="s">
        <v>346</v>
      </c>
      <c r="G18" s="2" t="s">
        <v>229</v>
      </c>
      <c r="H18" s="2" t="s">
        <v>232</v>
      </c>
      <c r="I18" s="17">
        <v>55801.41</v>
      </c>
      <c r="J18" s="17"/>
      <c r="K18" s="17">
        <v>100000</v>
      </c>
      <c r="L18" s="17">
        <v>80000</v>
      </c>
      <c r="M18" s="17">
        <v>60000</v>
      </c>
      <c r="N18" s="17"/>
      <c r="O18" s="17">
        <v>295801.41000000003</v>
      </c>
      <c r="P18"/>
      <c r="Q18"/>
      <c r="R18"/>
      <c r="S18">
        <f>20000+40000+100000</f>
        <v>160000</v>
      </c>
      <c r="T18"/>
      <c r="U18"/>
    </row>
    <row r="19" spans="2:21" ht="15.75">
      <c r="B19" s="252"/>
      <c r="D19" s="2"/>
      <c r="E19" s="2"/>
      <c r="F19" s="2" t="s">
        <v>233</v>
      </c>
      <c r="G19" s="2" t="s">
        <v>229</v>
      </c>
      <c r="H19" s="2" t="s">
        <v>232</v>
      </c>
      <c r="I19" s="17">
        <v>27584.2</v>
      </c>
      <c r="J19" s="17">
        <v>27293.42</v>
      </c>
      <c r="K19" s="17">
        <v>30000.000652173901</v>
      </c>
      <c r="L19" s="17"/>
      <c r="M19" s="17"/>
      <c r="N19" s="17"/>
      <c r="O19" s="17">
        <v>84877.620652173893</v>
      </c>
      <c r="P19"/>
      <c r="Q19"/>
      <c r="R19"/>
      <c r="S19"/>
      <c r="T19"/>
      <c r="U19"/>
    </row>
    <row r="20" spans="2:21" ht="29.25">
      <c r="B20" s="252"/>
      <c r="D20" s="2"/>
      <c r="E20" s="2" t="s">
        <v>213</v>
      </c>
      <c r="F20" s="2" t="s">
        <v>218</v>
      </c>
      <c r="G20" s="2" t="s">
        <v>215</v>
      </c>
      <c r="H20" s="2" t="s">
        <v>217</v>
      </c>
      <c r="I20" s="17">
        <v>694231</v>
      </c>
      <c r="J20" s="17">
        <v>193639</v>
      </c>
      <c r="K20" s="17">
        <v>120316</v>
      </c>
      <c r="L20" s="17"/>
      <c r="M20" s="17"/>
      <c r="N20" s="17"/>
      <c r="O20" s="17">
        <v>1008186</v>
      </c>
      <c r="P20"/>
      <c r="Q20"/>
      <c r="R20"/>
      <c r="S20"/>
      <c r="T20"/>
      <c r="U20"/>
    </row>
    <row r="21" spans="2:21" ht="15.75">
      <c r="B21" s="252"/>
      <c r="D21" s="2"/>
      <c r="E21" s="2" t="s">
        <v>351</v>
      </c>
      <c r="F21" s="2" t="s">
        <v>240</v>
      </c>
      <c r="G21" s="2" t="s">
        <v>229</v>
      </c>
      <c r="H21" s="2" t="s">
        <v>232</v>
      </c>
      <c r="I21" s="17">
        <v>118130.35</v>
      </c>
      <c r="J21" s="17"/>
      <c r="K21" s="17"/>
      <c r="L21" s="17"/>
      <c r="M21" s="17"/>
      <c r="N21" s="17"/>
      <c r="O21" s="17">
        <v>118130.35</v>
      </c>
      <c r="P21"/>
      <c r="Q21"/>
      <c r="R21"/>
      <c r="S21"/>
      <c r="T21"/>
      <c r="U21"/>
    </row>
    <row r="22" spans="2:21" ht="29.25">
      <c r="B22" s="252"/>
      <c r="D22" s="2"/>
      <c r="E22" s="2" t="s">
        <v>302</v>
      </c>
      <c r="F22" s="2" t="s">
        <v>233</v>
      </c>
      <c r="G22" s="2" t="s">
        <v>229</v>
      </c>
      <c r="H22" s="2" t="s">
        <v>232</v>
      </c>
      <c r="I22" s="17">
        <v>1508.18</v>
      </c>
      <c r="J22" s="17">
        <v>15067.659999999996</v>
      </c>
      <c r="K22" s="17"/>
      <c r="L22" s="17"/>
      <c r="M22" s="17"/>
      <c r="N22" s="17"/>
      <c r="O22" s="17">
        <v>16575.839999999997</v>
      </c>
      <c r="P22"/>
      <c r="Q22"/>
      <c r="R22"/>
      <c r="S22"/>
      <c r="T22"/>
      <c r="U22"/>
    </row>
    <row r="23" spans="2:21" ht="29.25">
      <c r="B23" s="252"/>
      <c r="C23" s="2" t="s">
        <v>21</v>
      </c>
      <c r="D23" s="2" t="s">
        <v>22</v>
      </c>
      <c r="E23" s="2" t="s">
        <v>545</v>
      </c>
      <c r="F23" s="2" t="s">
        <v>218</v>
      </c>
      <c r="G23" s="2" t="s">
        <v>300</v>
      </c>
      <c r="H23" s="2" t="s">
        <v>217</v>
      </c>
      <c r="I23" s="17"/>
      <c r="J23" s="17">
        <v>57948</v>
      </c>
      <c r="K23" s="17">
        <v>20486</v>
      </c>
      <c r="L23" s="17"/>
      <c r="M23" s="17"/>
      <c r="N23" s="17"/>
      <c r="O23" s="17">
        <v>78434</v>
      </c>
      <c r="P23"/>
      <c r="Q23"/>
      <c r="R23"/>
      <c r="S23"/>
      <c r="T23"/>
      <c r="U23"/>
    </row>
    <row r="24" spans="2:21" ht="15.75">
      <c r="B24" s="252"/>
      <c r="D24" s="2"/>
      <c r="E24" s="2" t="s">
        <v>274</v>
      </c>
      <c r="F24" s="2" t="s">
        <v>233</v>
      </c>
      <c r="G24" s="2" t="s">
        <v>229</v>
      </c>
      <c r="H24" s="2" t="s">
        <v>232</v>
      </c>
      <c r="I24" s="17"/>
      <c r="J24" s="17"/>
      <c r="K24" s="17"/>
      <c r="L24" s="17"/>
      <c r="M24" s="17"/>
      <c r="N24" s="17"/>
      <c r="O24" s="17">
        <v>0</v>
      </c>
      <c r="P24"/>
      <c r="Q24"/>
      <c r="R24"/>
      <c r="S24"/>
      <c r="T24"/>
      <c r="U24"/>
    </row>
    <row r="25" spans="2:21" ht="15.75">
      <c r="B25" s="252"/>
      <c r="D25" s="2"/>
      <c r="E25" s="2" t="s">
        <v>503</v>
      </c>
      <c r="F25" s="2" t="s">
        <v>248</v>
      </c>
      <c r="G25" s="2" t="s">
        <v>229</v>
      </c>
      <c r="H25" s="2" t="s">
        <v>232</v>
      </c>
      <c r="I25" s="17"/>
      <c r="J25" s="17"/>
      <c r="K25" s="17"/>
      <c r="L25" s="17">
        <v>75000</v>
      </c>
      <c r="M25" s="17"/>
      <c r="N25" s="17"/>
      <c r="O25" s="17">
        <v>75000</v>
      </c>
      <c r="P25"/>
      <c r="Q25"/>
      <c r="R25"/>
      <c r="S25"/>
      <c r="T25"/>
      <c r="U25"/>
    </row>
    <row r="26" spans="2:21" ht="15.75">
      <c r="B26" s="252"/>
      <c r="D26" s="2"/>
      <c r="E26" s="251" t="s">
        <v>504</v>
      </c>
      <c r="F26" s="2" t="s">
        <v>248</v>
      </c>
      <c r="G26" s="2" t="s">
        <v>229</v>
      </c>
      <c r="H26" s="2" t="s">
        <v>232</v>
      </c>
      <c r="I26" s="17"/>
      <c r="J26" s="17"/>
      <c r="K26" s="17"/>
      <c r="L26" s="17"/>
      <c r="M26" s="17"/>
      <c r="N26" s="17"/>
      <c r="O26" s="17">
        <v>0</v>
      </c>
      <c r="P26"/>
      <c r="Q26"/>
      <c r="R26"/>
      <c r="S26" s="184">
        <v>200000</v>
      </c>
      <c r="T26"/>
      <c r="U26"/>
    </row>
    <row r="27" spans="2:21" ht="29.25">
      <c r="B27" s="252"/>
      <c r="C27" s="2" t="s">
        <v>25</v>
      </c>
      <c r="D27" s="2" t="s">
        <v>26</v>
      </c>
      <c r="E27" s="2" t="s">
        <v>417</v>
      </c>
      <c r="F27" s="2" t="s">
        <v>346</v>
      </c>
      <c r="G27" s="2" t="s">
        <v>229</v>
      </c>
      <c r="H27" s="2" t="s">
        <v>232</v>
      </c>
      <c r="I27" s="17">
        <v>91567.4</v>
      </c>
      <c r="J27" s="17">
        <v>158387.51999999996</v>
      </c>
      <c r="K27" s="17">
        <v>198632</v>
      </c>
      <c r="L27" s="17">
        <v>198632</v>
      </c>
      <c r="M27" s="17">
        <v>198632</v>
      </c>
      <c r="N27" s="17">
        <v>198632</v>
      </c>
      <c r="O27" s="17">
        <v>1044482.9199999999</v>
      </c>
      <c r="P27"/>
      <c r="Q27"/>
      <c r="R27"/>
      <c r="S27"/>
      <c r="T27"/>
      <c r="U27"/>
    </row>
    <row r="28" spans="2:21" ht="15.75">
      <c r="B28" s="252"/>
      <c r="D28" s="2"/>
      <c r="E28" s="2" t="s">
        <v>421</v>
      </c>
      <c r="F28" s="2" t="s">
        <v>346</v>
      </c>
      <c r="G28" s="2" t="s">
        <v>229</v>
      </c>
      <c r="H28" s="2" t="s">
        <v>232</v>
      </c>
      <c r="I28" s="17"/>
      <c r="J28" s="17">
        <v>65630.489999999991</v>
      </c>
      <c r="K28" s="17">
        <v>149845</v>
      </c>
      <c r="L28" s="17">
        <v>149845</v>
      </c>
      <c r="M28" s="17">
        <v>149845</v>
      </c>
      <c r="N28" s="17">
        <v>149845</v>
      </c>
      <c r="O28" s="17">
        <v>665010.49</v>
      </c>
      <c r="P28"/>
      <c r="Q28"/>
      <c r="R28"/>
      <c r="S28"/>
      <c r="T28"/>
      <c r="U28"/>
    </row>
    <row r="29" spans="2:21" ht="15.75">
      <c r="B29" s="252"/>
      <c r="D29" s="2"/>
      <c r="E29" s="2" t="s">
        <v>423</v>
      </c>
      <c r="F29" s="2" t="s">
        <v>346</v>
      </c>
      <c r="G29" s="2" t="s">
        <v>229</v>
      </c>
      <c r="H29" s="2" t="s">
        <v>232</v>
      </c>
      <c r="I29" s="17">
        <v>9778.17</v>
      </c>
      <c r="J29" s="17">
        <v>29282.790000000008</v>
      </c>
      <c r="K29" s="17">
        <v>37180</v>
      </c>
      <c r="L29" s="17">
        <v>37180</v>
      </c>
      <c r="M29" s="17">
        <v>37180</v>
      </c>
      <c r="N29" s="17">
        <v>37180</v>
      </c>
      <c r="O29" s="17">
        <v>187780.96000000002</v>
      </c>
      <c r="P29"/>
      <c r="Q29"/>
      <c r="R29"/>
      <c r="S29"/>
      <c r="T29"/>
      <c r="U29"/>
    </row>
    <row r="30" spans="2:21" ht="15.75">
      <c r="B30" s="252"/>
      <c r="D30" s="2"/>
      <c r="E30" s="2" t="s">
        <v>428</v>
      </c>
      <c r="F30" s="2" t="s">
        <v>346</v>
      </c>
      <c r="G30" s="2" t="s">
        <v>229</v>
      </c>
      <c r="H30" s="2" t="s">
        <v>232</v>
      </c>
      <c r="I30" s="17"/>
      <c r="J30" s="17"/>
      <c r="K30" s="17">
        <v>56240.416666666672</v>
      </c>
      <c r="L30" s="17">
        <v>134977</v>
      </c>
      <c r="M30" s="17">
        <v>134977</v>
      </c>
      <c r="N30" s="17">
        <v>134977</v>
      </c>
      <c r="O30" s="17">
        <v>461171.41666666669</v>
      </c>
      <c r="P30"/>
      <c r="Q30"/>
      <c r="R30"/>
      <c r="S30"/>
      <c r="T30"/>
      <c r="U30"/>
    </row>
    <row r="31" spans="2:21" ht="15.75">
      <c r="B31" s="252"/>
      <c r="D31" s="2"/>
      <c r="E31" s="2" t="s">
        <v>440</v>
      </c>
      <c r="F31" s="2" t="s">
        <v>248</v>
      </c>
      <c r="G31" s="2" t="s">
        <v>229</v>
      </c>
      <c r="H31" s="2" t="s">
        <v>232</v>
      </c>
      <c r="I31" s="17"/>
      <c r="J31" s="17">
        <v>38721.219999999994</v>
      </c>
      <c r="K31" s="17">
        <v>134977</v>
      </c>
      <c r="L31" s="17">
        <v>134977</v>
      </c>
      <c r="M31" s="17">
        <v>134977</v>
      </c>
      <c r="N31" s="17">
        <v>134977</v>
      </c>
      <c r="O31" s="17">
        <v>578629.22</v>
      </c>
      <c r="P31"/>
      <c r="Q31"/>
      <c r="R31"/>
      <c r="S31"/>
      <c r="T31"/>
      <c r="U31"/>
    </row>
    <row r="32" spans="2:21" ht="29.25">
      <c r="B32" s="252"/>
      <c r="D32" s="2"/>
      <c r="E32" s="2" t="s">
        <v>443</v>
      </c>
      <c r="F32" s="2" t="s">
        <v>248</v>
      </c>
      <c r="G32" s="2" t="s">
        <v>229</v>
      </c>
      <c r="H32" s="2" t="s">
        <v>232</v>
      </c>
      <c r="I32" s="17"/>
      <c r="J32" s="17"/>
      <c r="K32" s="17">
        <v>134977</v>
      </c>
      <c r="L32" s="17">
        <v>134977</v>
      </c>
      <c r="M32" s="17">
        <v>134977</v>
      </c>
      <c r="N32" s="17">
        <v>134977</v>
      </c>
      <c r="O32" s="17">
        <v>539908</v>
      </c>
      <c r="P32"/>
      <c r="Q32"/>
      <c r="R32"/>
      <c r="S32"/>
      <c r="T32"/>
      <c r="U32"/>
    </row>
    <row r="33" spans="2:21" ht="15.75">
      <c r="B33" s="252"/>
      <c r="D33" s="2"/>
      <c r="E33" s="251" t="s">
        <v>449</v>
      </c>
      <c r="F33" s="2" t="s">
        <v>248</v>
      </c>
      <c r="G33" s="2" t="s">
        <v>229</v>
      </c>
      <c r="H33" s="2" t="s">
        <v>232</v>
      </c>
      <c r="I33" s="17"/>
      <c r="J33" s="17"/>
      <c r="K33" s="17"/>
      <c r="L33" s="17"/>
      <c r="M33" s="17"/>
      <c r="N33" s="17"/>
      <c r="O33" s="17">
        <v>0</v>
      </c>
      <c r="P33"/>
      <c r="Q33"/>
      <c r="R33"/>
      <c r="S33" s="184">
        <f>134977*4</f>
        <v>539908</v>
      </c>
      <c r="T33"/>
      <c r="U33"/>
    </row>
    <row r="34" spans="2:21" ht="15.75">
      <c r="B34" s="252"/>
      <c r="D34" s="2"/>
      <c r="E34" s="2" t="s">
        <v>452</v>
      </c>
      <c r="F34" s="2" t="s">
        <v>248</v>
      </c>
      <c r="G34" s="2" t="s">
        <v>229</v>
      </c>
      <c r="H34" s="2" t="s">
        <v>232</v>
      </c>
      <c r="I34" s="17"/>
      <c r="J34" s="17"/>
      <c r="K34" s="17">
        <v>52746.666666666672</v>
      </c>
      <c r="L34" s="17">
        <v>126592</v>
      </c>
      <c r="M34" s="17">
        <v>126592</v>
      </c>
      <c r="N34" s="17">
        <v>126592</v>
      </c>
      <c r="O34" s="17">
        <v>432522.66666666669</v>
      </c>
      <c r="P34"/>
      <c r="Q34"/>
      <c r="R34"/>
      <c r="S34"/>
      <c r="T34"/>
      <c r="U34"/>
    </row>
    <row r="35" spans="2:21" ht="15.75">
      <c r="B35" s="252"/>
      <c r="D35" s="2"/>
      <c r="E35" s="251" t="s">
        <v>454</v>
      </c>
      <c r="F35" s="2" t="s">
        <v>248</v>
      </c>
      <c r="G35" s="2" t="s">
        <v>229</v>
      </c>
      <c r="H35" s="2" t="s">
        <v>232</v>
      </c>
      <c r="I35" s="17"/>
      <c r="J35" s="17"/>
      <c r="K35" s="17"/>
      <c r="L35" s="17"/>
      <c r="M35" s="17"/>
      <c r="N35" s="17"/>
      <c r="O35" s="17">
        <v>0</v>
      </c>
      <c r="P35"/>
      <c r="Q35"/>
      <c r="R35"/>
      <c r="S35" s="184">
        <f>134977*4</f>
        <v>539908</v>
      </c>
      <c r="T35"/>
      <c r="U35"/>
    </row>
    <row r="36" spans="2:21" ht="29.25">
      <c r="B36" s="252"/>
      <c r="D36" s="2"/>
      <c r="E36" s="2" t="s">
        <v>446</v>
      </c>
      <c r="F36" s="2" t="s">
        <v>248</v>
      </c>
      <c r="G36" s="2" t="s">
        <v>229</v>
      </c>
      <c r="H36" s="2" t="s">
        <v>232</v>
      </c>
      <c r="I36" s="17"/>
      <c r="J36" s="17"/>
      <c r="K36" s="17">
        <v>89984.666666666672</v>
      </c>
      <c r="L36" s="17">
        <v>134977</v>
      </c>
      <c r="M36" s="17">
        <v>134977</v>
      </c>
      <c r="N36" s="17">
        <v>134977</v>
      </c>
      <c r="O36" s="17">
        <v>494915.66666666669</v>
      </c>
      <c r="P36"/>
      <c r="Q36"/>
      <c r="R36"/>
      <c r="S36"/>
      <c r="T36"/>
      <c r="U36"/>
    </row>
    <row r="37" spans="2:21" ht="15.75">
      <c r="B37" s="252"/>
      <c r="D37" s="2"/>
      <c r="E37" s="2" t="s">
        <v>455</v>
      </c>
      <c r="F37" s="2" t="s">
        <v>248</v>
      </c>
      <c r="G37" s="2" t="s">
        <v>229</v>
      </c>
      <c r="H37" s="2" t="s">
        <v>232</v>
      </c>
      <c r="I37" s="17"/>
      <c r="J37" s="17"/>
      <c r="K37" s="17"/>
      <c r="L37" s="17"/>
      <c r="M37" s="17"/>
      <c r="N37" s="17"/>
      <c r="O37" s="17">
        <v>0</v>
      </c>
      <c r="P37"/>
      <c r="Q37"/>
      <c r="R37"/>
      <c r="S37"/>
      <c r="T37"/>
      <c r="U37"/>
    </row>
    <row r="38" spans="2:21" ht="29.25">
      <c r="B38" s="252"/>
      <c r="C38" s="2" t="s">
        <v>33</v>
      </c>
      <c r="D38" s="2" t="s">
        <v>34</v>
      </c>
      <c r="E38" s="251" t="s">
        <v>493</v>
      </c>
      <c r="F38" s="2" t="s">
        <v>248</v>
      </c>
      <c r="G38" s="2" t="s">
        <v>229</v>
      </c>
      <c r="H38" s="2" t="s">
        <v>232</v>
      </c>
      <c r="I38" s="17"/>
      <c r="J38" s="17"/>
      <c r="K38" s="17">
        <v>50000</v>
      </c>
      <c r="L38" s="17">
        <v>50000</v>
      </c>
      <c r="M38" s="17"/>
      <c r="N38" s="17"/>
      <c r="O38" s="17">
        <v>100000</v>
      </c>
      <c r="P38"/>
      <c r="Q38"/>
      <c r="R38"/>
      <c r="S38">
        <v>500000</v>
      </c>
      <c r="T38"/>
      <c r="U38"/>
    </row>
    <row r="39" spans="2:21" ht="29.25">
      <c r="B39" s="252"/>
      <c r="C39" s="2" t="s">
        <v>36</v>
      </c>
      <c r="D39" s="2" t="s">
        <v>37</v>
      </c>
      <c r="E39" s="2" t="s">
        <v>425</v>
      </c>
      <c r="F39" s="2" t="s">
        <v>426</v>
      </c>
      <c r="G39" s="2" t="s">
        <v>229</v>
      </c>
      <c r="H39" s="2" t="s">
        <v>217</v>
      </c>
      <c r="I39" s="17"/>
      <c r="J39" s="17">
        <v>86400</v>
      </c>
      <c r="K39" s="17"/>
      <c r="L39" s="17"/>
      <c r="M39" s="17"/>
      <c r="N39" s="17"/>
      <c r="O39" s="17">
        <v>86400</v>
      </c>
      <c r="P39"/>
      <c r="Q39"/>
      <c r="R39"/>
      <c r="S39" s="184">
        <v>100000</v>
      </c>
      <c r="T39"/>
      <c r="U39"/>
    </row>
    <row r="40" spans="2:21" ht="29.25">
      <c r="B40" s="252"/>
      <c r="D40" s="2"/>
      <c r="E40" s="2" t="s">
        <v>546</v>
      </c>
      <c r="F40" s="2" t="s">
        <v>248</v>
      </c>
      <c r="G40" s="2" t="s">
        <v>229</v>
      </c>
      <c r="H40" s="2" t="s">
        <v>232</v>
      </c>
      <c r="I40" s="17"/>
      <c r="J40" s="17"/>
      <c r="K40" s="17"/>
      <c r="L40" s="17">
        <v>5000</v>
      </c>
      <c r="M40" s="17">
        <v>5000</v>
      </c>
      <c r="N40" s="17">
        <v>5000</v>
      </c>
      <c r="O40" s="17">
        <v>15000</v>
      </c>
      <c r="P40"/>
      <c r="Q40"/>
      <c r="R40"/>
      <c r="S40"/>
      <c r="T40"/>
      <c r="U40"/>
    </row>
    <row r="41" spans="2:21" ht="15.75">
      <c r="B41" s="252"/>
      <c r="D41" s="2"/>
      <c r="E41" s="2"/>
      <c r="F41" s="2" t="s">
        <v>240</v>
      </c>
      <c r="G41" s="2" t="s">
        <v>229</v>
      </c>
      <c r="H41" s="2" t="s">
        <v>232</v>
      </c>
      <c r="I41" s="17"/>
      <c r="J41" s="17">
        <v>101815.47</v>
      </c>
      <c r="K41" s="17">
        <v>88529.04</v>
      </c>
      <c r="L41" s="17"/>
      <c r="M41" s="17"/>
      <c r="N41" s="17"/>
      <c r="O41" s="17">
        <v>190344.51</v>
      </c>
      <c r="P41"/>
      <c r="Q41"/>
      <c r="R41"/>
      <c r="S41"/>
      <c r="T41"/>
      <c r="U41"/>
    </row>
    <row r="42" spans="2:21" ht="43.5">
      <c r="B42" s="252"/>
      <c r="C42" s="2" t="s">
        <v>38</v>
      </c>
      <c r="D42" s="2" t="s">
        <v>39</v>
      </c>
      <c r="E42" s="251" t="s">
        <v>523</v>
      </c>
      <c r="F42" s="2" t="s">
        <v>547</v>
      </c>
      <c r="G42" s="2" t="s">
        <v>547</v>
      </c>
      <c r="H42" s="2" t="s">
        <v>547</v>
      </c>
      <c r="I42" s="17"/>
      <c r="J42" s="17"/>
      <c r="K42" s="17"/>
      <c r="L42" s="17"/>
      <c r="M42" s="17"/>
      <c r="N42" s="17"/>
      <c r="O42" s="17">
        <v>0</v>
      </c>
      <c r="P42"/>
      <c r="Q42"/>
      <c r="R42"/>
      <c r="S42"/>
      <c r="T42"/>
      <c r="U42"/>
    </row>
    <row r="43" spans="2:21" ht="29.25">
      <c r="B43" s="252"/>
      <c r="C43" s="2" t="s">
        <v>28</v>
      </c>
      <c r="D43" s="2" t="s">
        <v>29</v>
      </c>
      <c r="E43" s="251" t="s">
        <v>525</v>
      </c>
      <c r="F43" s="2" t="s">
        <v>547</v>
      </c>
      <c r="G43" s="2" t="s">
        <v>547</v>
      </c>
      <c r="H43" s="2" t="s">
        <v>547</v>
      </c>
      <c r="I43" s="17"/>
      <c r="J43" s="17"/>
      <c r="K43" s="17"/>
      <c r="L43" s="17"/>
      <c r="M43" s="17"/>
      <c r="N43" s="17"/>
      <c r="O43" s="17">
        <v>0</v>
      </c>
      <c r="P43"/>
      <c r="Q43"/>
      <c r="R43"/>
      <c r="S43"/>
      <c r="T43"/>
      <c r="U43"/>
    </row>
    <row r="44" spans="2:21" ht="29.25">
      <c r="B44" s="252">
        <v>2</v>
      </c>
      <c r="C44" s="150" t="s">
        <v>42</v>
      </c>
      <c r="D44" s="2" t="s">
        <v>43</v>
      </c>
      <c r="E44" s="2" t="s">
        <v>320</v>
      </c>
      <c r="F44" s="2" t="s">
        <v>233</v>
      </c>
      <c r="G44" s="2" t="s">
        <v>229</v>
      </c>
      <c r="H44" s="2" t="s">
        <v>232</v>
      </c>
      <c r="I44" s="17"/>
      <c r="J44" s="17">
        <v>64228.479999999996</v>
      </c>
      <c r="K44" s="17"/>
      <c r="L44" s="17"/>
      <c r="M44" s="17"/>
      <c r="N44" s="17"/>
      <c r="O44" s="17">
        <v>64228.479999999996</v>
      </c>
      <c r="P44"/>
      <c r="Q44"/>
      <c r="R44"/>
      <c r="S44"/>
      <c r="T44"/>
      <c r="U44"/>
    </row>
    <row r="45" spans="2:21" ht="29.25">
      <c r="B45" s="252"/>
      <c r="C45" s="150"/>
      <c r="D45" s="2"/>
      <c r="E45" s="2" t="s">
        <v>361</v>
      </c>
      <c r="F45" s="2" t="s">
        <v>327</v>
      </c>
      <c r="G45" s="2" t="s">
        <v>327</v>
      </c>
      <c r="H45" s="2" t="s">
        <v>217</v>
      </c>
      <c r="I45" s="17"/>
      <c r="J45" s="17">
        <v>75000</v>
      </c>
      <c r="K45" s="17"/>
      <c r="L45" s="17"/>
      <c r="M45" s="17"/>
      <c r="N45" s="17"/>
      <c r="O45" s="17">
        <v>75000</v>
      </c>
      <c r="P45"/>
      <c r="Q45"/>
      <c r="R45"/>
      <c r="S45" s="184">
        <v>2000000</v>
      </c>
      <c r="T45" t="s">
        <v>548</v>
      </c>
      <c r="U45"/>
    </row>
    <row r="46" spans="2:21" ht="15.75">
      <c r="B46" s="252"/>
      <c r="C46" s="150"/>
      <c r="D46" s="2"/>
      <c r="E46" s="2" t="s">
        <v>511</v>
      </c>
      <c r="F46" s="2" t="s">
        <v>233</v>
      </c>
      <c r="G46" s="2" t="s">
        <v>229</v>
      </c>
      <c r="H46" s="2" t="s">
        <v>232</v>
      </c>
      <c r="I46" s="17"/>
      <c r="J46" s="17"/>
      <c r="K46" s="17">
        <v>50000</v>
      </c>
      <c r="L46" s="17"/>
      <c r="M46" s="17"/>
      <c r="N46" s="17"/>
      <c r="O46" s="17">
        <v>50000</v>
      </c>
      <c r="P46"/>
      <c r="Q46"/>
      <c r="R46"/>
      <c r="S46"/>
      <c r="T46"/>
      <c r="U46"/>
    </row>
    <row r="47" spans="2:21" ht="29.25">
      <c r="B47" s="252"/>
      <c r="C47" s="150"/>
      <c r="D47" s="2"/>
      <c r="E47" s="251" t="s">
        <v>520</v>
      </c>
      <c r="F47" s="2" t="s">
        <v>248</v>
      </c>
      <c r="G47" s="2" t="s">
        <v>229</v>
      </c>
      <c r="H47" s="2" t="s">
        <v>232</v>
      </c>
      <c r="I47" s="17"/>
      <c r="J47" s="17"/>
      <c r="K47" s="17">
        <v>35000</v>
      </c>
      <c r="L47" s="17"/>
      <c r="M47" s="17"/>
      <c r="N47" s="17"/>
      <c r="O47" s="17">
        <v>35000</v>
      </c>
      <c r="P47"/>
      <c r="Q47"/>
      <c r="R47"/>
      <c r="S47">
        <f>250000*2</f>
        <v>500000</v>
      </c>
      <c r="T47"/>
      <c r="U47"/>
    </row>
    <row r="48" spans="2:21" ht="29.25">
      <c r="B48" s="252"/>
      <c r="C48" s="150" t="s">
        <v>46</v>
      </c>
      <c r="D48" s="2" t="s">
        <v>47</v>
      </c>
      <c r="E48" s="2" t="s">
        <v>323</v>
      </c>
      <c r="F48" s="2" t="s">
        <v>218</v>
      </c>
      <c r="G48" s="2" t="s">
        <v>215</v>
      </c>
      <c r="H48" s="2" t="s">
        <v>217</v>
      </c>
      <c r="I48" s="17">
        <v>7195</v>
      </c>
      <c r="J48" s="17">
        <v>202272</v>
      </c>
      <c r="K48" s="17">
        <v>9773</v>
      </c>
      <c r="L48" s="17"/>
      <c r="M48" s="17"/>
      <c r="N48" s="17"/>
      <c r="O48" s="17">
        <v>219240</v>
      </c>
      <c r="P48"/>
      <c r="Q48"/>
      <c r="R48"/>
      <c r="S48"/>
      <c r="T48"/>
      <c r="U48"/>
    </row>
    <row r="49" spans="2:21" ht="15.75">
      <c r="B49" s="252"/>
      <c r="C49" s="150"/>
      <c r="D49" s="2"/>
      <c r="E49" s="251" t="s">
        <v>373</v>
      </c>
      <c r="F49" s="2" t="s">
        <v>248</v>
      </c>
      <c r="G49" s="2" t="s">
        <v>280</v>
      </c>
      <c r="H49" s="2" t="s">
        <v>232</v>
      </c>
      <c r="I49" s="17"/>
      <c r="J49" s="17"/>
      <c r="K49" s="17">
        <v>180000</v>
      </c>
      <c r="L49" s="17">
        <v>180000</v>
      </c>
      <c r="M49" s="17"/>
      <c r="N49" s="17"/>
      <c r="O49" s="17">
        <v>360000</v>
      </c>
      <c r="P49"/>
      <c r="Q49"/>
      <c r="R49"/>
      <c r="S49"/>
      <c r="T49"/>
      <c r="U49"/>
    </row>
    <row r="50" spans="2:21" ht="15.75">
      <c r="B50" s="252"/>
      <c r="C50" s="150"/>
      <c r="D50" s="2"/>
      <c r="E50" s="2" t="s">
        <v>370</v>
      </c>
      <c r="F50" s="2" t="s">
        <v>248</v>
      </c>
      <c r="G50" s="2" t="s">
        <v>280</v>
      </c>
      <c r="H50" s="2" t="s">
        <v>232</v>
      </c>
      <c r="I50" s="17"/>
      <c r="J50" s="17">
        <v>76226.37</v>
      </c>
      <c r="K50" s="17">
        <v>63152.630000000005</v>
      </c>
      <c r="L50" s="17"/>
      <c r="M50" s="17"/>
      <c r="N50" s="17"/>
      <c r="O50" s="17">
        <v>139379</v>
      </c>
      <c r="P50"/>
      <c r="Q50"/>
      <c r="R50"/>
      <c r="S50" s="185">
        <f>80000*3</f>
        <v>240000</v>
      </c>
      <c r="T50"/>
      <c r="U50"/>
    </row>
    <row r="51" spans="2:21" ht="29.25">
      <c r="B51" s="252"/>
      <c r="C51" s="150"/>
      <c r="D51" s="2"/>
      <c r="E51" s="2" t="s">
        <v>381</v>
      </c>
      <c r="F51" s="2"/>
      <c r="G51" s="2"/>
      <c r="H51" s="2"/>
      <c r="I51" s="17"/>
      <c r="J51" s="17"/>
      <c r="K51" s="17">
        <v>92973.75</v>
      </c>
      <c r="L51" s="17"/>
      <c r="M51" s="17"/>
      <c r="N51" s="17"/>
      <c r="O51" s="17">
        <v>92973.75</v>
      </c>
      <c r="P51"/>
      <c r="Q51"/>
      <c r="R51"/>
      <c r="S51">
        <f>147826*3</f>
        <v>443478</v>
      </c>
      <c r="T51"/>
      <c r="U51"/>
    </row>
    <row r="52" spans="2:21" ht="72.75">
      <c r="B52" s="252"/>
      <c r="C52" s="150" t="s">
        <v>48</v>
      </c>
      <c r="D52" s="2" t="s">
        <v>49</v>
      </c>
      <c r="E52" s="251" t="s">
        <v>376</v>
      </c>
      <c r="F52" s="2" t="s">
        <v>248</v>
      </c>
      <c r="G52" s="2" t="s">
        <v>377</v>
      </c>
      <c r="H52" s="2" t="s">
        <v>232</v>
      </c>
      <c r="I52" s="17"/>
      <c r="J52" s="17"/>
      <c r="K52" s="17">
        <v>30000</v>
      </c>
      <c r="L52" s="17">
        <v>80000</v>
      </c>
      <c r="M52" s="17"/>
      <c r="N52" s="17"/>
      <c r="O52" s="17">
        <v>110000</v>
      </c>
      <c r="P52"/>
      <c r="Q52"/>
      <c r="R52"/>
      <c r="S52"/>
      <c r="T52"/>
      <c r="U52"/>
    </row>
    <row r="53" spans="2:21" ht="43.5">
      <c r="B53" s="252"/>
      <c r="C53" s="150" t="s">
        <v>50</v>
      </c>
      <c r="D53" s="2" t="s">
        <v>51</v>
      </c>
      <c r="E53" s="251" t="s">
        <v>334</v>
      </c>
      <c r="F53" s="2" t="s">
        <v>248</v>
      </c>
      <c r="G53" s="2" t="s">
        <v>229</v>
      </c>
      <c r="H53" s="2" t="s">
        <v>232</v>
      </c>
      <c r="I53" s="17"/>
      <c r="J53" s="17"/>
      <c r="K53" s="17">
        <v>147826.08695652176</v>
      </c>
      <c r="L53" s="17"/>
      <c r="M53" s="17"/>
      <c r="N53" s="17"/>
      <c r="O53" s="17">
        <v>147826.08695652176</v>
      </c>
      <c r="P53"/>
      <c r="Q53"/>
      <c r="R53"/>
      <c r="S53">
        <f>135000*3</f>
        <v>405000</v>
      </c>
      <c r="T53"/>
      <c r="U53"/>
    </row>
    <row r="54" spans="2:21" ht="15.75">
      <c r="B54" s="252"/>
      <c r="C54" s="150"/>
      <c r="D54" s="2"/>
      <c r="E54" s="2"/>
      <c r="F54" s="2" t="s">
        <v>233</v>
      </c>
      <c r="G54" s="2" t="s">
        <v>229</v>
      </c>
      <c r="H54" s="2" t="s">
        <v>232</v>
      </c>
      <c r="I54" s="17"/>
      <c r="J54" s="17">
        <v>124020.18999999999</v>
      </c>
      <c r="K54" s="17"/>
      <c r="L54" s="17"/>
      <c r="M54" s="17"/>
      <c r="N54" s="17"/>
      <c r="O54" s="17">
        <v>124020.18999999999</v>
      </c>
      <c r="P54"/>
      <c r="Q54"/>
      <c r="R54"/>
      <c r="S54"/>
      <c r="T54"/>
      <c r="U54"/>
    </row>
    <row r="55" spans="2:21" ht="57.75">
      <c r="B55" s="252"/>
      <c r="C55" s="150" t="s">
        <v>52</v>
      </c>
      <c r="D55" s="2" t="s">
        <v>53</v>
      </c>
      <c r="E55" s="251" t="s">
        <v>333</v>
      </c>
      <c r="F55" s="2" t="s">
        <v>233</v>
      </c>
      <c r="G55" s="2" t="s">
        <v>229</v>
      </c>
      <c r="H55" s="2" t="s">
        <v>232</v>
      </c>
      <c r="I55" s="17"/>
      <c r="J55" s="17"/>
      <c r="K55" s="17">
        <v>135133.07304347801</v>
      </c>
      <c r="L55" s="17"/>
      <c r="M55" s="17"/>
      <c r="N55" s="17"/>
      <c r="O55" s="17">
        <v>135133.07304347801</v>
      </c>
      <c r="P55"/>
      <c r="Q55"/>
      <c r="R55"/>
      <c r="S55"/>
      <c r="T55"/>
      <c r="U55"/>
    </row>
    <row r="56" spans="2:21" ht="29.25">
      <c r="B56" s="252"/>
      <c r="C56" s="2" t="s">
        <v>54</v>
      </c>
      <c r="D56" s="2" t="s">
        <v>55</v>
      </c>
      <c r="E56" s="2" t="s">
        <v>257</v>
      </c>
      <c r="F56" s="2"/>
      <c r="G56" s="2"/>
      <c r="H56" s="2"/>
      <c r="I56" s="17"/>
      <c r="J56" s="17"/>
      <c r="K56" s="17">
        <v>109824.09964</v>
      </c>
      <c r="L56" s="17"/>
      <c r="M56" s="17"/>
      <c r="N56" s="17"/>
      <c r="O56" s="17">
        <v>109824.09964</v>
      </c>
      <c r="P56"/>
      <c r="Q56"/>
      <c r="R56"/>
      <c r="S56"/>
      <c r="T56"/>
      <c r="U56"/>
    </row>
    <row r="57" spans="2:21" ht="29.25">
      <c r="B57" s="252"/>
      <c r="D57" s="2"/>
      <c r="E57" s="2" t="s">
        <v>337</v>
      </c>
      <c r="F57" s="2" t="s">
        <v>233</v>
      </c>
      <c r="G57" s="2" t="s">
        <v>229</v>
      </c>
      <c r="H57" s="2" t="s">
        <v>232</v>
      </c>
      <c r="I57" s="17"/>
      <c r="J57" s="17"/>
      <c r="K57" s="17">
        <v>54069.565217391311</v>
      </c>
      <c r="L57" s="17"/>
      <c r="M57" s="17"/>
      <c r="N57" s="17"/>
      <c r="O57" s="17">
        <v>54069.565217391311</v>
      </c>
      <c r="P57"/>
      <c r="Q57"/>
      <c r="R57"/>
      <c r="S57"/>
      <c r="T57"/>
      <c r="U57"/>
    </row>
    <row r="58" spans="2:21" ht="43.5">
      <c r="B58" s="252"/>
      <c r="C58" s="2" t="s">
        <v>57</v>
      </c>
      <c r="D58" s="2" t="s">
        <v>58</v>
      </c>
      <c r="E58" s="2" t="s">
        <v>432</v>
      </c>
      <c r="F58" s="2" t="s">
        <v>240</v>
      </c>
      <c r="G58" s="2" t="s">
        <v>229</v>
      </c>
      <c r="H58" s="2" t="s">
        <v>232</v>
      </c>
      <c r="I58" s="17"/>
      <c r="J58" s="17">
        <v>17405.060000000001</v>
      </c>
      <c r="K58" s="17">
        <v>111947.00000000001</v>
      </c>
      <c r="L58" s="17"/>
      <c r="M58" s="17"/>
      <c r="N58" s="17"/>
      <c r="O58" s="17">
        <v>129352.06000000001</v>
      </c>
      <c r="P58"/>
      <c r="Q58"/>
      <c r="R58"/>
      <c r="S58"/>
      <c r="T58"/>
      <c r="U58"/>
    </row>
    <row r="59" spans="2:21" ht="29.25">
      <c r="B59" s="252"/>
      <c r="D59" s="2"/>
      <c r="E59" s="2" t="s">
        <v>436</v>
      </c>
      <c r="F59" s="2" t="s">
        <v>248</v>
      </c>
      <c r="G59" s="2" t="s">
        <v>229</v>
      </c>
      <c r="H59" s="2" t="s">
        <v>232</v>
      </c>
      <c r="I59" s="17"/>
      <c r="J59" s="17"/>
      <c r="K59" s="17">
        <v>95236.166666666657</v>
      </c>
      <c r="L59" s="17">
        <v>163262</v>
      </c>
      <c r="M59" s="17">
        <v>163262</v>
      </c>
      <c r="N59" s="17">
        <v>163262</v>
      </c>
      <c r="O59" s="17">
        <v>585022.16666666663</v>
      </c>
      <c r="P59"/>
      <c r="Q59"/>
      <c r="R59"/>
      <c r="S59"/>
      <c r="T59"/>
      <c r="U59"/>
    </row>
    <row r="60" spans="2:21" ht="43.5">
      <c r="B60" s="252"/>
      <c r="C60" s="2" t="s">
        <v>61</v>
      </c>
      <c r="D60" s="2" t="s">
        <v>62</v>
      </c>
      <c r="E60" s="2" t="s">
        <v>366</v>
      </c>
      <c r="F60" s="2" t="s">
        <v>218</v>
      </c>
      <c r="G60" s="2" t="s">
        <v>215</v>
      </c>
      <c r="H60" s="2" t="s">
        <v>217</v>
      </c>
      <c r="I60" s="17">
        <v>220742</v>
      </c>
      <c r="J60" s="17">
        <v>177689</v>
      </c>
      <c r="K60" s="17"/>
      <c r="L60" s="17"/>
      <c r="M60" s="17"/>
      <c r="N60" s="17"/>
      <c r="O60" s="17">
        <v>398431</v>
      </c>
      <c r="P60"/>
      <c r="Q60"/>
      <c r="R60"/>
      <c r="S60">
        <v>1000000</v>
      </c>
      <c r="T60" t="s">
        <v>549</v>
      </c>
      <c r="U60"/>
    </row>
    <row r="61" spans="2:21" ht="29.25">
      <c r="B61" s="252"/>
      <c r="D61" s="2"/>
      <c r="E61" s="2" t="s">
        <v>339</v>
      </c>
      <c r="F61" s="2" t="s">
        <v>218</v>
      </c>
      <c r="G61" s="2" t="s">
        <v>225</v>
      </c>
      <c r="H61" s="2" t="s">
        <v>217</v>
      </c>
      <c r="I61" s="17"/>
      <c r="J61" s="17">
        <v>29488</v>
      </c>
      <c r="K61" s="17">
        <v>45000</v>
      </c>
      <c r="L61" s="17">
        <v>17152</v>
      </c>
      <c r="M61" s="17"/>
      <c r="N61" s="17"/>
      <c r="O61" s="17">
        <v>91640</v>
      </c>
      <c r="P61"/>
      <c r="Q61"/>
      <c r="R61"/>
      <c r="S61"/>
      <c r="T61"/>
      <c r="U61"/>
    </row>
    <row r="62" spans="2:21" ht="29.25">
      <c r="B62" s="252"/>
      <c r="D62" s="2"/>
      <c r="E62" s="251" t="s">
        <v>367</v>
      </c>
      <c r="F62" s="2" t="s">
        <v>248</v>
      </c>
      <c r="G62" s="2" t="s">
        <v>229</v>
      </c>
      <c r="H62" s="2" t="s">
        <v>232</v>
      </c>
      <c r="I62" s="17"/>
      <c r="J62" s="17"/>
      <c r="K62" s="17"/>
      <c r="L62" s="17"/>
      <c r="M62" s="17"/>
      <c r="N62" s="17"/>
      <c r="O62" s="17">
        <v>0</v>
      </c>
      <c r="P62"/>
      <c r="Q62"/>
      <c r="R62"/>
      <c r="S62"/>
      <c r="T62"/>
      <c r="U62"/>
    </row>
    <row r="63" spans="2:21" ht="72.75">
      <c r="B63" s="252">
        <v>3</v>
      </c>
      <c r="C63" s="2" t="s">
        <v>70</v>
      </c>
      <c r="D63" s="2" t="s">
        <v>71</v>
      </c>
      <c r="E63" s="2" t="s">
        <v>341</v>
      </c>
      <c r="F63" s="2" t="s">
        <v>218</v>
      </c>
      <c r="G63" s="2" t="s">
        <v>225</v>
      </c>
      <c r="H63" s="2" t="s">
        <v>217</v>
      </c>
      <c r="I63" s="17"/>
      <c r="J63" s="17">
        <v>255029</v>
      </c>
      <c r="K63" s="17"/>
      <c r="L63" s="17"/>
      <c r="M63" s="17"/>
      <c r="N63" s="17"/>
      <c r="O63" s="17">
        <v>255029</v>
      </c>
      <c r="P63"/>
      <c r="Q63"/>
      <c r="R63"/>
      <c r="S63"/>
      <c r="T63"/>
      <c r="U63"/>
    </row>
    <row r="64" spans="2:21" ht="29.25">
      <c r="B64" s="252"/>
      <c r="D64" s="2"/>
      <c r="E64" s="2" t="s">
        <v>358</v>
      </c>
      <c r="F64" s="2" t="s">
        <v>218</v>
      </c>
      <c r="G64" s="2" t="s">
        <v>225</v>
      </c>
      <c r="H64" s="2" t="s">
        <v>217</v>
      </c>
      <c r="I64" s="17"/>
      <c r="J64" s="17">
        <v>62070</v>
      </c>
      <c r="K64" s="17">
        <v>40300</v>
      </c>
      <c r="L64" s="17"/>
      <c r="M64" s="17"/>
      <c r="N64" s="17"/>
      <c r="O64" s="17">
        <v>102370</v>
      </c>
      <c r="P64"/>
      <c r="Q64"/>
      <c r="R64"/>
      <c r="S64"/>
      <c r="T64"/>
      <c r="U64"/>
    </row>
    <row r="65" spans="2:21" ht="29.25">
      <c r="B65" s="252"/>
      <c r="D65" s="2"/>
      <c r="E65" s="2" t="s">
        <v>343</v>
      </c>
      <c r="F65" s="2" t="s">
        <v>218</v>
      </c>
      <c r="G65" s="2" t="s">
        <v>215</v>
      </c>
      <c r="H65" s="2" t="s">
        <v>217</v>
      </c>
      <c r="I65" s="17">
        <v>290</v>
      </c>
      <c r="J65" s="17">
        <v>37063</v>
      </c>
      <c r="K65" s="17">
        <v>11947</v>
      </c>
      <c r="L65" s="17"/>
      <c r="M65" s="17"/>
      <c r="N65" s="17"/>
      <c r="O65" s="17">
        <v>49300</v>
      </c>
      <c r="P65"/>
      <c r="Q65"/>
      <c r="R65"/>
      <c r="S65"/>
      <c r="T65"/>
      <c r="U65"/>
    </row>
    <row r="66" spans="2:21" ht="15.75">
      <c r="B66" s="252"/>
      <c r="D66" s="2"/>
      <c r="E66" s="2" t="s">
        <v>290</v>
      </c>
      <c r="F66" s="2" t="s">
        <v>248</v>
      </c>
      <c r="G66" s="2" t="s">
        <v>229</v>
      </c>
      <c r="H66" s="2" t="s">
        <v>232</v>
      </c>
      <c r="I66" s="17"/>
      <c r="J66" s="17"/>
      <c r="K66" s="17"/>
      <c r="L66" s="17">
        <v>10000</v>
      </c>
      <c r="M66" s="17"/>
      <c r="N66" s="17"/>
      <c r="O66" s="17">
        <v>10000</v>
      </c>
      <c r="P66"/>
      <c r="Q66"/>
      <c r="R66"/>
      <c r="S66"/>
      <c r="T66"/>
      <c r="U66"/>
    </row>
    <row r="67" spans="2:21" ht="15.75">
      <c r="B67" s="252"/>
      <c r="D67" s="2"/>
      <c r="E67" s="2" t="s">
        <v>471</v>
      </c>
      <c r="F67" s="2" t="s">
        <v>248</v>
      </c>
      <c r="G67" s="2" t="s">
        <v>229</v>
      </c>
      <c r="H67" s="2" t="s">
        <v>232</v>
      </c>
      <c r="I67" s="17"/>
      <c r="J67" s="17"/>
      <c r="K67" s="17"/>
      <c r="L67" s="17">
        <v>20000</v>
      </c>
      <c r="M67" s="17"/>
      <c r="N67" s="17"/>
      <c r="O67" s="17">
        <v>20000</v>
      </c>
      <c r="P67"/>
      <c r="Q67"/>
      <c r="R67"/>
      <c r="S67"/>
      <c r="T67"/>
      <c r="U67"/>
    </row>
    <row r="68" spans="2:21" ht="15.75">
      <c r="B68" s="252"/>
      <c r="D68" s="2"/>
      <c r="E68" s="2" t="s">
        <v>474</v>
      </c>
      <c r="F68" s="2" t="s">
        <v>248</v>
      </c>
      <c r="G68" s="2" t="s">
        <v>229</v>
      </c>
      <c r="H68" s="2" t="s">
        <v>232</v>
      </c>
      <c r="I68" s="17"/>
      <c r="J68" s="17"/>
      <c r="K68" s="17"/>
      <c r="L68" s="17">
        <v>20000</v>
      </c>
      <c r="M68" s="17"/>
      <c r="N68" s="17"/>
      <c r="O68" s="17">
        <v>20000</v>
      </c>
      <c r="P68"/>
      <c r="Q68"/>
      <c r="R68"/>
      <c r="S68"/>
      <c r="T68"/>
      <c r="U68"/>
    </row>
    <row r="69" spans="2:21" ht="15.75">
      <c r="B69" s="252"/>
      <c r="D69" s="2"/>
      <c r="E69" s="2" t="s">
        <v>476</v>
      </c>
      <c r="F69" s="2" t="s">
        <v>248</v>
      </c>
      <c r="G69" s="2" t="s">
        <v>229</v>
      </c>
      <c r="H69" s="2" t="s">
        <v>232</v>
      </c>
      <c r="I69" s="17"/>
      <c r="J69" s="17"/>
      <c r="K69" s="17"/>
      <c r="L69" s="17">
        <v>10000</v>
      </c>
      <c r="M69" s="17"/>
      <c r="N69" s="17"/>
      <c r="O69" s="17">
        <v>10000</v>
      </c>
      <c r="P69"/>
      <c r="Q69"/>
      <c r="R69"/>
      <c r="S69"/>
      <c r="T69"/>
      <c r="U69"/>
    </row>
    <row r="70" spans="2:21" ht="29.25">
      <c r="B70" s="252"/>
      <c r="D70" s="2"/>
      <c r="E70" s="2" t="s">
        <v>295</v>
      </c>
      <c r="F70" s="2" t="s">
        <v>248</v>
      </c>
      <c r="G70" s="2" t="s">
        <v>229</v>
      </c>
      <c r="H70" s="2" t="s">
        <v>232</v>
      </c>
      <c r="I70" s="17"/>
      <c r="J70" s="17"/>
      <c r="K70" s="17">
        <v>75000</v>
      </c>
      <c r="L70" s="17">
        <v>125000</v>
      </c>
      <c r="M70" s="17">
        <v>20000</v>
      </c>
      <c r="N70" s="17">
        <v>10000</v>
      </c>
      <c r="O70" s="17">
        <v>230000</v>
      </c>
      <c r="P70"/>
      <c r="Q70"/>
      <c r="R70"/>
      <c r="S70"/>
      <c r="T70"/>
      <c r="U70"/>
    </row>
    <row r="71" spans="2:21" ht="29.25">
      <c r="B71" s="252"/>
      <c r="D71" s="2"/>
      <c r="E71" s="2" t="s">
        <v>388</v>
      </c>
      <c r="F71" s="2" t="s">
        <v>248</v>
      </c>
      <c r="G71" s="2" t="s">
        <v>229</v>
      </c>
      <c r="H71" s="2" t="s">
        <v>232</v>
      </c>
      <c r="I71" s="17"/>
      <c r="J71" s="17"/>
      <c r="K71" s="17">
        <v>50000</v>
      </c>
      <c r="L71" s="17">
        <v>150000</v>
      </c>
      <c r="M71" s="17"/>
      <c r="N71" s="17"/>
      <c r="O71" s="17">
        <v>200000</v>
      </c>
      <c r="P71"/>
      <c r="Q71"/>
      <c r="R71"/>
      <c r="S71">
        <f>163000*3+2000000</f>
        <v>2489000</v>
      </c>
      <c r="T71" t="s">
        <v>550</v>
      </c>
      <c r="U71"/>
    </row>
    <row r="72" spans="2:21" ht="15.75">
      <c r="B72" s="252"/>
      <c r="D72" s="2"/>
      <c r="E72" s="2" t="s">
        <v>477</v>
      </c>
      <c r="F72" s="2" t="s">
        <v>248</v>
      </c>
      <c r="G72" s="2" t="s">
        <v>229</v>
      </c>
      <c r="H72" s="2" t="s">
        <v>232</v>
      </c>
      <c r="I72" s="17"/>
      <c r="J72" s="17"/>
      <c r="K72" s="17"/>
      <c r="L72" s="17">
        <v>20000</v>
      </c>
      <c r="M72" s="17"/>
      <c r="N72" s="17"/>
      <c r="O72" s="17">
        <v>20000</v>
      </c>
      <c r="P72"/>
      <c r="Q72"/>
      <c r="R72"/>
      <c r="S72" s="184">
        <v>126592</v>
      </c>
      <c r="T72"/>
      <c r="U72"/>
    </row>
    <row r="73" spans="2:21" ht="43.5">
      <c r="B73" s="252"/>
      <c r="C73" s="2" t="s">
        <v>74</v>
      </c>
      <c r="D73" s="2" t="s">
        <v>75</v>
      </c>
      <c r="E73" s="2" t="s">
        <v>419</v>
      </c>
      <c r="F73" s="2" t="s">
        <v>346</v>
      </c>
      <c r="G73" s="2" t="s">
        <v>229</v>
      </c>
      <c r="H73" s="2" t="s">
        <v>232</v>
      </c>
      <c r="I73" s="17"/>
      <c r="J73" s="17">
        <v>45055.95</v>
      </c>
      <c r="K73" s="17">
        <v>163262</v>
      </c>
      <c r="L73" s="17">
        <v>163262</v>
      </c>
      <c r="M73" s="17">
        <v>163262</v>
      </c>
      <c r="N73" s="17">
        <v>163262</v>
      </c>
      <c r="O73" s="17">
        <v>698103.95</v>
      </c>
      <c r="P73"/>
      <c r="Q73"/>
      <c r="R73"/>
      <c r="S73"/>
      <c r="T73"/>
      <c r="U73"/>
    </row>
    <row r="74" spans="2:21" ht="29.25">
      <c r="B74" s="252"/>
      <c r="D74" s="2"/>
      <c r="E74" s="251" t="s">
        <v>505</v>
      </c>
      <c r="F74" s="2" t="s">
        <v>248</v>
      </c>
      <c r="G74" s="2" t="s">
        <v>400</v>
      </c>
      <c r="H74" s="2" t="s">
        <v>232</v>
      </c>
      <c r="I74" s="17"/>
      <c r="J74" s="17"/>
      <c r="K74" s="17"/>
      <c r="L74" s="17"/>
      <c r="M74" s="17"/>
      <c r="N74" s="17"/>
      <c r="O74" s="17">
        <v>0</v>
      </c>
      <c r="P74"/>
      <c r="Q74"/>
      <c r="R74"/>
      <c r="S74"/>
      <c r="T74"/>
      <c r="U74"/>
    </row>
    <row r="75" spans="2:21" ht="15.75">
      <c r="B75" s="252"/>
      <c r="D75" s="2"/>
      <c r="E75" s="2" t="s">
        <v>385</v>
      </c>
      <c r="F75" s="2" t="s">
        <v>248</v>
      </c>
      <c r="G75" s="2" t="s">
        <v>229</v>
      </c>
      <c r="H75" s="2" t="s">
        <v>232</v>
      </c>
      <c r="I75" s="17"/>
      <c r="J75" s="17"/>
      <c r="K75" s="17"/>
      <c r="L75" s="17">
        <v>126592</v>
      </c>
      <c r="M75" s="17">
        <v>126592</v>
      </c>
      <c r="N75" s="17">
        <v>126592</v>
      </c>
      <c r="O75" s="17">
        <v>379776</v>
      </c>
      <c r="P75"/>
      <c r="Q75"/>
      <c r="R75"/>
      <c r="S75">
        <v>4500000</v>
      </c>
      <c r="T75" t="s">
        <v>551</v>
      </c>
      <c r="U75"/>
    </row>
    <row r="76" spans="2:21" ht="43.5">
      <c r="B76" s="252"/>
      <c r="C76" s="2" t="s">
        <v>77</v>
      </c>
      <c r="D76" s="2" t="s">
        <v>78</v>
      </c>
      <c r="E76" s="2" t="s">
        <v>342</v>
      </c>
      <c r="F76" s="2" t="s">
        <v>218</v>
      </c>
      <c r="G76" s="2" t="s">
        <v>225</v>
      </c>
      <c r="H76" s="2" t="s">
        <v>217</v>
      </c>
      <c r="I76" s="17"/>
      <c r="J76" s="17">
        <v>8975</v>
      </c>
      <c r="K76" s="17">
        <v>940769</v>
      </c>
      <c r="L76" s="17">
        <v>535227</v>
      </c>
      <c r="M76" s="17"/>
      <c r="N76" s="17"/>
      <c r="O76" s="17">
        <v>1484971</v>
      </c>
      <c r="P76"/>
      <c r="Q76"/>
      <c r="R76"/>
      <c r="S76"/>
      <c r="T76"/>
      <c r="U76"/>
    </row>
    <row r="77" spans="2:21" ht="15.75">
      <c r="B77" s="252"/>
      <c r="C77" s="2" t="s">
        <v>82</v>
      </c>
      <c r="D77" s="251" t="s">
        <v>83</v>
      </c>
      <c r="E77" s="2" t="s">
        <v>316</v>
      </c>
      <c r="F77" s="2" t="s">
        <v>248</v>
      </c>
      <c r="G77" s="2" t="s">
        <v>229</v>
      </c>
      <c r="H77" s="2" t="s">
        <v>547</v>
      </c>
      <c r="I77" s="17"/>
      <c r="J77" s="17"/>
      <c r="K77" s="17"/>
      <c r="L77" s="17"/>
      <c r="M77" s="17"/>
      <c r="N77" s="17"/>
      <c r="O77" s="17">
        <v>0</v>
      </c>
      <c r="P77"/>
      <c r="Q77"/>
      <c r="R77"/>
      <c r="S77"/>
      <c r="T77"/>
      <c r="U77"/>
    </row>
    <row r="78" spans="2:21" ht="15.75">
      <c r="B78" s="252"/>
      <c r="D78" s="2"/>
      <c r="E78" s="2" t="s">
        <v>318</v>
      </c>
      <c r="F78" s="2" t="s">
        <v>248</v>
      </c>
      <c r="G78" s="2" t="s">
        <v>229</v>
      </c>
      <c r="H78" s="2" t="s">
        <v>547</v>
      </c>
      <c r="I78" s="17"/>
      <c r="J78" s="17"/>
      <c r="K78" s="17"/>
      <c r="L78" s="17"/>
      <c r="M78" s="17"/>
      <c r="N78" s="17"/>
      <c r="O78" s="17">
        <v>0</v>
      </c>
      <c r="P78"/>
      <c r="Q78"/>
      <c r="R78"/>
      <c r="S78">
        <v>2500000</v>
      </c>
      <c r="T78"/>
      <c r="U78"/>
    </row>
    <row r="79" spans="2:21" ht="29.25">
      <c r="B79" s="252"/>
      <c r="D79" s="2"/>
      <c r="E79" s="2" t="s">
        <v>352</v>
      </c>
      <c r="F79" s="2" t="s">
        <v>218</v>
      </c>
      <c r="G79" s="2" t="s">
        <v>215</v>
      </c>
      <c r="H79" s="2" t="s">
        <v>217</v>
      </c>
      <c r="I79" s="17"/>
      <c r="J79" s="17">
        <v>764160</v>
      </c>
      <c r="K79" s="17">
        <v>1816614</v>
      </c>
      <c r="L79" s="17"/>
      <c r="M79" s="17"/>
      <c r="N79" s="17"/>
      <c r="O79" s="17">
        <v>2580774</v>
      </c>
      <c r="P79"/>
      <c r="Q79"/>
      <c r="R79"/>
      <c r="S79" s="184">
        <v>1000000</v>
      </c>
      <c r="T79" t="s">
        <v>552</v>
      </c>
      <c r="U79"/>
    </row>
    <row r="80" spans="2:21" ht="29.25">
      <c r="B80" s="252"/>
      <c r="D80" s="2"/>
      <c r="E80" s="2" t="s">
        <v>347</v>
      </c>
      <c r="F80" s="2" t="s">
        <v>218</v>
      </c>
      <c r="G80" s="2" t="s">
        <v>215</v>
      </c>
      <c r="H80" s="2" t="s">
        <v>217</v>
      </c>
      <c r="I80" s="17">
        <v>1906045</v>
      </c>
      <c r="J80" s="17">
        <v>208211</v>
      </c>
      <c r="K80" s="17">
        <v>121061</v>
      </c>
      <c r="L80" s="17">
        <v>121061</v>
      </c>
      <c r="M80" s="17"/>
      <c r="N80" s="17"/>
      <c r="O80" s="17">
        <v>2356378</v>
      </c>
      <c r="P80"/>
      <c r="Q80"/>
      <c r="R80"/>
      <c r="S80"/>
      <c r="T80"/>
      <c r="U80"/>
    </row>
    <row r="81" spans="2:21" ht="43.5">
      <c r="B81" s="252"/>
      <c r="D81" s="2"/>
      <c r="E81" s="2" t="s">
        <v>304</v>
      </c>
      <c r="F81" s="2" t="s">
        <v>248</v>
      </c>
      <c r="G81" s="2" t="s">
        <v>305</v>
      </c>
      <c r="H81" s="2" t="s">
        <v>232</v>
      </c>
      <c r="I81" s="17"/>
      <c r="J81" s="17"/>
      <c r="K81" s="17">
        <v>1994999.9999999998</v>
      </c>
      <c r="L81" s="17">
        <v>1360000</v>
      </c>
      <c r="M81" s="17">
        <v>10000</v>
      </c>
      <c r="N81" s="17">
        <v>10000</v>
      </c>
      <c r="O81" s="17">
        <v>3375000</v>
      </c>
      <c r="P81"/>
      <c r="Q81"/>
      <c r="R81"/>
      <c r="S81">
        <v>1000000</v>
      </c>
      <c r="T81"/>
      <c r="U81"/>
    </row>
    <row r="82" spans="2:21" ht="29.25">
      <c r="B82" s="252"/>
      <c r="C82" s="2" t="s">
        <v>66</v>
      </c>
      <c r="D82" s="2" t="s">
        <v>67</v>
      </c>
      <c r="E82" s="2" t="s">
        <v>329</v>
      </c>
      <c r="F82" s="2" t="s">
        <v>233</v>
      </c>
      <c r="G82" s="2" t="s">
        <v>229</v>
      </c>
      <c r="H82" s="2" t="s">
        <v>232</v>
      </c>
      <c r="I82" s="17"/>
      <c r="J82" s="17"/>
      <c r="K82" s="17">
        <v>50504.34782608696</v>
      </c>
      <c r="L82" s="17"/>
      <c r="M82" s="17"/>
      <c r="N82" s="17"/>
      <c r="O82" s="17">
        <v>50504.34782608696</v>
      </c>
      <c r="P82"/>
      <c r="Q82"/>
      <c r="R82"/>
      <c r="S82"/>
      <c r="T82"/>
      <c r="U82"/>
    </row>
    <row r="83" spans="2:21" ht="29.25">
      <c r="B83" s="252"/>
      <c r="C83" s="2" t="s">
        <v>85</v>
      </c>
      <c r="D83" s="2" t="s">
        <v>86</v>
      </c>
      <c r="E83" s="251" t="s">
        <v>524</v>
      </c>
      <c r="F83" s="2" t="s">
        <v>547</v>
      </c>
      <c r="G83" s="2" t="s">
        <v>547</v>
      </c>
      <c r="H83" s="2" t="s">
        <v>547</v>
      </c>
      <c r="I83" s="17"/>
      <c r="J83" s="17"/>
      <c r="K83" s="17"/>
      <c r="L83" s="17"/>
      <c r="M83" s="17"/>
      <c r="N83" s="17"/>
      <c r="O83" s="17">
        <v>0</v>
      </c>
      <c r="P83"/>
      <c r="Q83"/>
      <c r="R83"/>
      <c r="S83"/>
      <c r="T83"/>
      <c r="U83"/>
    </row>
    <row r="84" spans="2:21" ht="57.75">
      <c r="B84" s="252">
        <v>4</v>
      </c>
      <c r="C84" s="2" t="s">
        <v>99</v>
      </c>
      <c r="D84" s="2" t="s">
        <v>100</v>
      </c>
      <c r="E84" s="2" t="s">
        <v>369</v>
      </c>
      <c r="F84" s="2" t="s">
        <v>233</v>
      </c>
      <c r="G84" s="2" t="s">
        <v>229</v>
      </c>
      <c r="H84" s="2" t="s">
        <v>232</v>
      </c>
      <c r="I84" s="17"/>
      <c r="J84" s="17"/>
      <c r="K84" s="17">
        <v>26956.521739130436</v>
      </c>
      <c r="L84" s="17"/>
      <c r="M84" s="17"/>
      <c r="N84" s="17"/>
      <c r="O84" s="17">
        <v>26956.521739130436</v>
      </c>
      <c r="P84"/>
      <c r="Q84"/>
      <c r="R84"/>
      <c r="S84"/>
      <c r="T84"/>
      <c r="U84"/>
    </row>
    <row r="85" spans="2:21" ht="29.25">
      <c r="B85" s="252"/>
      <c r="D85" s="2"/>
      <c r="E85" s="251" t="s">
        <v>271</v>
      </c>
      <c r="F85" s="2" t="s">
        <v>248</v>
      </c>
      <c r="G85" s="2" t="s">
        <v>267</v>
      </c>
      <c r="H85" s="2" t="s">
        <v>232</v>
      </c>
      <c r="I85" s="17"/>
      <c r="J85" s="17"/>
      <c r="K85" s="17">
        <v>750000</v>
      </c>
      <c r="L85" s="17">
        <v>800000</v>
      </c>
      <c r="M85" s="17"/>
      <c r="N85" s="17"/>
      <c r="O85" s="17">
        <v>1550000</v>
      </c>
      <c r="P85"/>
      <c r="Q85"/>
      <c r="R85"/>
      <c r="S85"/>
      <c r="T85"/>
      <c r="U85"/>
    </row>
    <row r="86" spans="2:21" ht="29.25">
      <c r="B86" s="252"/>
      <c r="D86" s="2"/>
      <c r="E86" s="2" t="s">
        <v>237</v>
      </c>
      <c r="F86" s="2" t="s">
        <v>240</v>
      </c>
      <c r="G86" s="2" t="s">
        <v>229</v>
      </c>
      <c r="H86" s="2" t="s">
        <v>232</v>
      </c>
      <c r="I86" s="17">
        <v>55234.94</v>
      </c>
      <c r="J86" s="17"/>
      <c r="K86" s="17"/>
      <c r="L86" s="17"/>
      <c r="M86" s="17"/>
      <c r="N86" s="17"/>
      <c r="O86" s="17">
        <v>55234.94</v>
      </c>
      <c r="P86"/>
      <c r="Q86"/>
      <c r="R86"/>
      <c r="S86"/>
      <c r="T86"/>
      <c r="U86"/>
    </row>
    <row r="87" spans="2:21" ht="29.25">
      <c r="B87" s="252"/>
      <c r="D87" s="2"/>
      <c r="E87" s="2" t="s">
        <v>265</v>
      </c>
      <c r="F87" s="2" t="s">
        <v>248</v>
      </c>
      <c r="G87" s="2" t="s">
        <v>267</v>
      </c>
      <c r="H87" s="2" t="s">
        <v>232</v>
      </c>
      <c r="I87" s="17"/>
      <c r="J87" s="17"/>
      <c r="K87" s="17">
        <v>75000</v>
      </c>
      <c r="L87" s="17"/>
      <c r="M87" s="17"/>
      <c r="N87" s="17"/>
      <c r="O87" s="17">
        <v>75000</v>
      </c>
      <c r="P87"/>
      <c r="Q87"/>
      <c r="R87"/>
      <c r="S87" s="184">
        <v>5000000</v>
      </c>
      <c r="T87" t="s">
        <v>553</v>
      </c>
      <c r="U87"/>
    </row>
    <row r="88" spans="2:21" ht="15.75">
      <c r="B88" s="252"/>
      <c r="D88" s="2"/>
      <c r="E88" s="2" t="s">
        <v>515</v>
      </c>
      <c r="F88" s="2" t="s">
        <v>248</v>
      </c>
      <c r="G88" s="2" t="s">
        <v>229</v>
      </c>
      <c r="H88" s="2" t="s">
        <v>232</v>
      </c>
      <c r="I88" s="17"/>
      <c r="J88" s="17"/>
      <c r="K88" s="17">
        <v>20000</v>
      </c>
      <c r="L88" s="17"/>
      <c r="M88" s="17"/>
      <c r="N88" s="17"/>
      <c r="O88" s="17">
        <v>20000</v>
      </c>
      <c r="P88"/>
      <c r="Q88"/>
      <c r="R88"/>
      <c r="S88"/>
      <c r="T88"/>
      <c r="U88"/>
    </row>
    <row r="89" spans="2:21" ht="29.25">
      <c r="B89" s="252"/>
      <c r="D89" s="2"/>
      <c r="E89" s="2" t="s">
        <v>397</v>
      </c>
      <c r="F89" s="2" t="s">
        <v>248</v>
      </c>
      <c r="G89" s="2" t="s">
        <v>229</v>
      </c>
      <c r="H89" s="2" t="s">
        <v>547</v>
      </c>
      <c r="I89" s="17"/>
      <c r="J89" s="17"/>
      <c r="K89" s="17"/>
      <c r="L89" s="17"/>
      <c r="M89" s="17"/>
      <c r="N89" s="17"/>
      <c r="O89" s="17">
        <v>0</v>
      </c>
      <c r="P89"/>
      <c r="Q89"/>
      <c r="R89"/>
      <c r="S89">
        <v>1000000</v>
      </c>
      <c r="T89"/>
      <c r="U89"/>
    </row>
    <row r="90" spans="2:21" ht="29.25">
      <c r="B90" s="252"/>
      <c r="D90" s="2"/>
      <c r="E90" s="2" t="s">
        <v>260</v>
      </c>
      <c r="F90" s="2" t="s">
        <v>248</v>
      </c>
      <c r="G90" s="2" t="s">
        <v>261</v>
      </c>
      <c r="H90" s="2" t="s">
        <v>232</v>
      </c>
      <c r="I90" s="17"/>
      <c r="J90" s="17"/>
      <c r="K90" s="17">
        <v>30000</v>
      </c>
      <c r="L90" s="17"/>
      <c r="M90" s="17"/>
      <c r="N90" s="17"/>
      <c r="O90" s="17">
        <v>30000</v>
      </c>
      <c r="P90"/>
      <c r="Q90"/>
      <c r="R90"/>
      <c r="S90"/>
      <c r="T90"/>
      <c r="U90"/>
    </row>
    <row r="91" spans="2:21" ht="15.75">
      <c r="B91" s="252"/>
      <c r="C91" s="2" t="s">
        <v>103</v>
      </c>
      <c r="D91" s="2" t="s">
        <v>104</v>
      </c>
      <c r="E91" s="2" t="s">
        <v>360</v>
      </c>
      <c r="F91" s="2" t="s">
        <v>248</v>
      </c>
      <c r="G91" s="2" t="s">
        <v>229</v>
      </c>
      <c r="H91" s="2" t="s">
        <v>232</v>
      </c>
      <c r="I91" s="17"/>
      <c r="J91" s="17"/>
      <c r="K91" s="17">
        <v>30000</v>
      </c>
      <c r="L91" s="17"/>
      <c r="M91" s="17"/>
      <c r="N91" s="17"/>
      <c r="O91" s="17">
        <v>30000</v>
      </c>
      <c r="P91"/>
      <c r="Q91"/>
      <c r="R91"/>
      <c r="S91"/>
      <c r="T91"/>
      <c r="U91"/>
    </row>
    <row r="92" spans="2:21" ht="29.25">
      <c r="B92" s="252"/>
      <c r="D92" s="2"/>
      <c r="E92" s="251" t="s">
        <v>526</v>
      </c>
      <c r="F92" s="2" t="s">
        <v>547</v>
      </c>
      <c r="G92" s="2" t="s">
        <v>547</v>
      </c>
      <c r="H92" s="2" t="s">
        <v>547</v>
      </c>
      <c r="I92" s="17"/>
      <c r="J92" s="17"/>
      <c r="K92" s="17"/>
      <c r="L92" s="17"/>
      <c r="M92" s="17"/>
      <c r="N92" s="17"/>
      <c r="O92" s="17">
        <v>0</v>
      </c>
      <c r="P92"/>
      <c r="Q92"/>
      <c r="R92"/>
      <c r="S92">
        <f>170000*4</f>
        <v>680000</v>
      </c>
      <c r="T92"/>
      <c r="U92"/>
    </row>
    <row r="93" spans="2:21" ht="29.25">
      <c r="B93" s="252"/>
      <c r="C93" s="2" t="s">
        <v>111</v>
      </c>
      <c r="D93" s="2" t="s">
        <v>112</v>
      </c>
      <c r="E93" s="2" t="s">
        <v>404</v>
      </c>
      <c r="F93" s="2" t="s">
        <v>248</v>
      </c>
      <c r="G93" s="2" t="s">
        <v>400</v>
      </c>
      <c r="H93" s="2" t="s">
        <v>232</v>
      </c>
      <c r="I93" s="17"/>
      <c r="J93" s="17">
        <v>279417.63</v>
      </c>
      <c r="K93" s="17">
        <v>478112.83</v>
      </c>
      <c r="L93" s="17"/>
      <c r="M93" s="17"/>
      <c r="N93" s="17"/>
      <c r="O93" s="17">
        <v>757530.46</v>
      </c>
      <c r="P93"/>
      <c r="Q93"/>
      <c r="R93"/>
      <c r="S93" s="184">
        <f>173551*3</f>
        <v>520653</v>
      </c>
      <c r="T93" t="s">
        <v>554</v>
      </c>
      <c r="U93"/>
    </row>
    <row r="94" spans="2:21" ht="15.75">
      <c r="B94" s="252"/>
      <c r="D94" s="2"/>
      <c r="E94" s="2" t="s">
        <v>399</v>
      </c>
      <c r="F94" s="2" t="s">
        <v>248</v>
      </c>
      <c r="G94" s="2" t="s">
        <v>400</v>
      </c>
      <c r="H94" s="2" t="s">
        <v>232</v>
      </c>
      <c r="I94" s="17"/>
      <c r="J94" s="17"/>
      <c r="K94" s="17">
        <v>12396.5</v>
      </c>
      <c r="L94" s="17"/>
      <c r="M94" s="17"/>
      <c r="N94" s="17"/>
      <c r="O94" s="17">
        <v>12396.5</v>
      </c>
      <c r="P94"/>
      <c r="Q94"/>
      <c r="R94"/>
      <c r="S94"/>
      <c r="T94"/>
      <c r="U94"/>
    </row>
    <row r="95" spans="2:21" ht="29.25">
      <c r="B95" s="252"/>
      <c r="D95" s="2"/>
      <c r="E95" s="2" t="s">
        <v>394</v>
      </c>
      <c r="F95" s="2" t="s">
        <v>218</v>
      </c>
      <c r="G95" s="2" t="s">
        <v>225</v>
      </c>
      <c r="H95" s="2" t="s">
        <v>217</v>
      </c>
      <c r="I95" s="17"/>
      <c r="J95" s="17">
        <v>21387</v>
      </c>
      <c r="K95" s="17">
        <v>306806</v>
      </c>
      <c r="L95" s="17">
        <v>106807</v>
      </c>
      <c r="M95" s="17"/>
      <c r="N95" s="17"/>
      <c r="O95" s="17">
        <v>435000</v>
      </c>
      <c r="P95"/>
      <c r="Q95"/>
      <c r="R95"/>
      <c r="S95" s="184">
        <f>25000*15+300000</f>
        <v>675000</v>
      </c>
      <c r="T95" t="s">
        <v>555</v>
      </c>
      <c r="U95"/>
    </row>
    <row r="96" spans="2:21" ht="29.25">
      <c r="B96" s="252"/>
      <c r="C96" s="2" t="s">
        <v>114</v>
      </c>
      <c r="D96" s="2" t="s">
        <v>115</v>
      </c>
      <c r="E96" s="2" t="s">
        <v>480</v>
      </c>
      <c r="F96" s="2" t="s">
        <v>248</v>
      </c>
      <c r="G96" s="2" t="s">
        <v>400</v>
      </c>
      <c r="H96" s="2" t="s">
        <v>232</v>
      </c>
      <c r="I96" s="17"/>
      <c r="J96" s="17">
        <v>0</v>
      </c>
      <c r="K96" s="17">
        <v>92973.75</v>
      </c>
      <c r="L96" s="17">
        <v>0</v>
      </c>
      <c r="M96" s="17"/>
      <c r="N96" s="17"/>
      <c r="O96" s="17">
        <v>92973.75</v>
      </c>
      <c r="P96"/>
      <c r="Q96"/>
      <c r="R96"/>
      <c r="S96" s="184">
        <v>100000</v>
      </c>
      <c r="T96"/>
      <c r="U96"/>
    </row>
    <row r="97" spans="2:21" ht="87">
      <c r="B97" s="252"/>
      <c r="C97" s="2" t="s">
        <v>117</v>
      </c>
      <c r="D97" s="2" t="s">
        <v>118</v>
      </c>
      <c r="E97" s="251" t="s">
        <v>494</v>
      </c>
      <c r="F97" s="2" t="s">
        <v>248</v>
      </c>
      <c r="G97" s="2" t="s">
        <v>495</v>
      </c>
      <c r="H97" s="2" t="s">
        <v>232</v>
      </c>
      <c r="I97" s="17"/>
      <c r="J97" s="17">
        <v>13263.1</v>
      </c>
      <c r="K97" s="17">
        <v>170000</v>
      </c>
      <c r="L97" s="17">
        <v>170000</v>
      </c>
      <c r="M97" s="17">
        <v>170000</v>
      </c>
      <c r="N97" s="17">
        <v>170000</v>
      </c>
      <c r="O97" s="17">
        <v>693263.1</v>
      </c>
      <c r="P97"/>
      <c r="Q97"/>
      <c r="R97"/>
      <c r="S97" s="184">
        <f>120000*15/2</f>
        <v>900000</v>
      </c>
      <c r="T97"/>
      <c r="U97"/>
    </row>
    <row r="98" spans="2:21" ht="15.75">
      <c r="B98" s="252"/>
      <c r="D98" s="2"/>
      <c r="E98" s="2" t="s">
        <v>278</v>
      </c>
      <c r="F98" s="2" t="s">
        <v>248</v>
      </c>
      <c r="G98" s="2" t="s">
        <v>280</v>
      </c>
      <c r="H98" s="2" t="s">
        <v>232</v>
      </c>
      <c r="I98" s="17"/>
      <c r="J98" s="17"/>
      <c r="K98" s="17">
        <v>216938.75</v>
      </c>
      <c r="L98" s="17"/>
      <c r="M98" s="17"/>
      <c r="N98" s="17"/>
      <c r="O98" s="17">
        <v>216938.75</v>
      </c>
      <c r="P98"/>
      <c r="Q98"/>
      <c r="R98"/>
      <c r="S98"/>
      <c r="T98"/>
      <c r="U98"/>
    </row>
    <row r="99" spans="2:21" ht="29.25">
      <c r="B99" s="252"/>
      <c r="C99" s="2" t="s">
        <v>106</v>
      </c>
      <c r="D99" s="2" t="s">
        <v>107</v>
      </c>
      <c r="E99" s="2" t="s">
        <v>363</v>
      </c>
      <c r="F99" s="2" t="s">
        <v>218</v>
      </c>
      <c r="G99" s="2" t="s">
        <v>215</v>
      </c>
      <c r="H99" s="2" t="s">
        <v>217</v>
      </c>
      <c r="I99" s="17">
        <v>331114</v>
      </c>
      <c r="J99" s="17">
        <v>159336</v>
      </c>
      <c r="K99" s="17">
        <v>107197</v>
      </c>
      <c r="L99" s="17"/>
      <c r="M99" s="17"/>
      <c r="N99" s="17"/>
      <c r="O99" s="17">
        <v>597647</v>
      </c>
      <c r="P99"/>
      <c r="Q99"/>
      <c r="R99"/>
      <c r="S99"/>
      <c r="T99"/>
      <c r="U99"/>
    </row>
    <row r="100" spans="2:21" ht="72.75">
      <c r="B100" s="252">
        <v>5</v>
      </c>
      <c r="C100" s="2" t="s">
        <v>123</v>
      </c>
      <c r="D100" s="2" t="s">
        <v>124</v>
      </c>
      <c r="E100" s="2" t="s">
        <v>445</v>
      </c>
      <c r="F100" s="2" t="s">
        <v>233</v>
      </c>
      <c r="G100" s="2" t="s">
        <v>229</v>
      </c>
      <c r="H100" s="2" t="s">
        <v>232</v>
      </c>
      <c r="I100" s="17"/>
      <c r="J100" s="17"/>
      <c r="K100" s="17"/>
      <c r="L100" s="17">
        <v>20000.000695652201</v>
      </c>
      <c r="M100" s="17"/>
      <c r="N100" s="17"/>
      <c r="O100" s="17">
        <v>20000.000695652201</v>
      </c>
      <c r="P100"/>
      <c r="Q100"/>
      <c r="R100"/>
      <c r="S100" s="184">
        <v>500000</v>
      </c>
      <c r="T100"/>
      <c r="U100"/>
    </row>
    <row r="101" spans="2:21" ht="57.75">
      <c r="B101" s="252"/>
      <c r="D101" s="2"/>
      <c r="E101" s="2" t="s">
        <v>470</v>
      </c>
      <c r="F101" s="2" t="s">
        <v>233</v>
      </c>
      <c r="G101" s="2" t="s">
        <v>229</v>
      </c>
      <c r="H101" s="2" t="s">
        <v>232</v>
      </c>
      <c r="I101" s="17"/>
      <c r="J101" s="17"/>
      <c r="K101" s="17"/>
      <c r="L101" s="17">
        <v>50000.000217391294</v>
      </c>
      <c r="M101" s="17"/>
      <c r="N101" s="17"/>
      <c r="O101" s="17">
        <v>50000.000217391294</v>
      </c>
      <c r="P101"/>
      <c r="Q101"/>
      <c r="R101"/>
      <c r="S101"/>
      <c r="T101"/>
      <c r="U101"/>
    </row>
    <row r="102" spans="2:21" ht="43.5">
      <c r="B102" s="252"/>
      <c r="C102" s="2" t="s">
        <v>132</v>
      </c>
      <c r="D102" s="2" t="s">
        <v>133</v>
      </c>
      <c r="E102" s="251" t="s">
        <v>250</v>
      </c>
      <c r="F102" s="2" t="s">
        <v>240</v>
      </c>
      <c r="G102" s="2" t="s">
        <v>229</v>
      </c>
      <c r="H102" s="2" t="s">
        <v>232</v>
      </c>
      <c r="I102" s="17"/>
      <c r="J102" s="17"/>
      <c r="K102" s="17">
        <v>107587.375</v>
      </c>
      <c r="L102" s="17"/>
      <c r="M102" s="17"/>
      <c r="N102" s="17"/>
      <c r="O102" s="17">
        <v>107587.375</v>
      </c>
      <c r="P102"/>
      <c r="Q102"/>
      <c r="R102"/>
      <c r="S102">
        <f>163262*3</f>
        <v>489786</v>
      </c>
      <c r="T102"/>
      <c r="U102"/>
    </row>
    <row r="103" spans="2:21" ht="15.75">
      <c r="B103" s="252"/>
      <c r="D103" s="2"/>
      <c r="E103" s="2"/>
      <c r="F103" s="2" t="s">
        <v>233</v>
      </c>
      <c r="G103" s="2" t="s">
        <v>229</v>
      </c>
      <c r="H103" s="2" t="s">
        <v>232</v>
      </c>
      <c r="I103" s="17"/>
      <c r="J103" s="17"/>
      <c r="K103" s="17">
        <v>86956.521739130447</v>
      </c>
      <c r="L103" s="17"/>
      <c r="M103" s="17"/>
      <c r="N103" s="17"/>
      <c r="O103" s="17">
        <v>86956.521739130447</v>
      </c>
      <c r="P103"/>
      <c r="Q103"/>
      <c r="R103"/>
      <c r="S103"/>
      <c r="T103"/>
      <c r="U103"/>
    </row>
    <row r="104" spans="2:21" ht="72.75">
      <c r="B104" s="252"/>
      <c r="C104" s="2" t="s">
        <v>135</v>
      </c>
      <c r="D104" s="2" t="s">
        <v>136</v>
      </c>
      <c r="E104" s="2" t="s">
        <v>506</v>
      </c>
      <c r="F104" s="2" t="s">
        <v>233</v>
      </c>
      <c r="G104" s="2" t="s">
        <v>229</v>
      </c>
      <c r="H104" s="2" t="s">
        <v>232</v>
      </c>
      <c r="I104" s="17"/>
      <c r="J104" s="17">
        <v>22530.699999999997</v>
      </c>
      <c r="K104" s="17"/>
      <c r="L104" s="17"/>
      <c r="M104" s="17"/>
      <c r="N104" s="17"/>
      <c r="O104" s="17">
        <v>22530.699999999997</v>
      </c>
      <c r="P104"/>
      <c r="Q104"/>
      <c r="R104"/>
      <c r="S104"/>
      <c r="T104"/>
      <c r="U104"/>
    </row>
    <row r="105" spans="2:21" ht="29.25">
      <c r="B105" s="252"/>
      <c r="D105" s="2"/>
      <c r="E105" s="251" t="s">
        <v>522</v>
      </c>
      <c r="F105" s="2" t="s">
        <v>547</v>
      </c>
      <c r="G105" s="2" t="s">
        <v>229</v>
      </c>
      <c r="H105" s="2" t="s">
        <v>547</v>
      </c>
      <c r="I105" s="17"/>
      <c r="J105" s="17"/>
      <c r="K105" s="17"/>
      <c r="L105" s="17"/>
      <c r="M105" s="17"/>
      <c r="N105" s="17"/>
      <c r="O105" s="17">
        <v>0</v>
      </c>
      <c r="P105"/>
      <c r="Q105"/>
      <c r="R105"/>
      <c r="S105"/>
      <c r="T105"/>
      <c r="U105"/>
    </row>
    <row r="106" spans="2:21" ht="15.75">
      <c r="B106" s="252"/>
      <c r="D106" s="2"/>
      <c r="E106" s="251" t="s">
        <v>527</v>
      </c>
      <c r="F106" s="2" t="s">
        <v>547</v>
      </c>
      <c r="G106" s="2" t="s">
        <v>547</v>
      </c>
      <c r="H106" s="2" t="s">
        <v>547</v>
      </c>
      <c r="I106" s="17"/>
      <c r="J106" s="17"/>
      <c r="K106" s="17"/>
      <c r="L106" s="17"/>
      <c r="M106" s="17"/>
      <c r="N106" s="17"/>
      <c r="O106" s="17">
        <v>0</v>
      </c>
      <c r="P106"/>
      <c r="Q106"/>
      <c r="R106"/>
      <c r="S106"/>
      <c r="T106"/>
      <c r="U106"/>
    </row>
    <row r="107" spans="2:21" ht="57.75">
      <c r="B107" s="252"/>
      <c r="C107" s="2" t="s">
        <v>138</v>
      </c>
      <c r="D107" s="2" t="s">
        <v>139</v>
      </c>
      <c r="E107" s="251" t="s">
        <v>407</v>
      </c>
      <c r="F107" s="2" t="s">
        <v>248</v>
      </c>
      <c r="G107" s="2" t="s">
        <v>408</v>
      </c>
      <c r="H107" s="2" t="s">
        <v>232</v>
      </c>
      <c r="I107" s="17"/>
      <c r="J107" s="17"/>
      <c r="K107" s="17">
        <v>40931.14</v>
      </c>
      <c r="L107" s="17"/>
      <c r="M107" s="17"/>
      <c r="N107" s="17"/>
      <c r="O107" s="17">
        <v>40931.14</v>
      </c>
      <c r="P107"/>
      <c r="Q107"/>
      <c r="R107"/>
      <c r="S107"/>
      <c r="T107"/>
      <c r="U107"/>
    </row>
    <row r="108" spans="2:21" ht="15.75">
      <c r="B108" s="252"/>
      <c r="D108" s="2"/>
      <c r="E108" s="2"/>
      <c r="F108" s="2" t="s">
        <v>233</v>
      </c>
      <c r="G108" s="2" t="s">
        <v>229</v>
      </c>
      <c r="H108" s="2" t="s">
        <v>232</v>
      </c>
      <c r="I108" s="17"/>
      <c r="J108" s="17">
        <v>16793.990000000002</v>
      </c>
      <c r="K108" s="17">
        <v>100000.000434783</v>
      </c>
      <c r="L108" s="17"/>
      <c r="M108" s="17"/>
      <c r="N108" s="17"/>
      <c r="O108" s="17">
        <v>116793.990434783</v>
      </c>
      <c r="P108"/>
      <c r="Q108"/>
      <c r="R108"/>
      <c r="S108"/>
      <c r="T108"/>
      <c r="U108"/>
    </row>
    <row r="109" spans="2:21" ht="43.5">
      <c r="B109" s="252"/>
      <c r="C109" s="2" t="s">
        <v>141</v>
      </c>
      <c r="D109" s="2" t="s">
        <v>142</v>
      </c>
      <c r="E109" s="251" t="s">
        <v>437</v>
      </c>
      <c r="F109" s="2" t="s">
        <v>248</v>
      </c>
      <c r="G109" s="2" t="s">
        <v>229</v>
      </c>
      <c r="H109" s="2" t="s">
        <v>232</v>
      </c>
      <c r="I109" s="17"/>
      <c r="J109" s="17"/>
      <c r="K109" s="17"/>
      <c r="L109" s="17"/>
      <c r="M109" s="17"/>
      <c r="N109" s="17">
        <v>163262</v>
      </c>
      <c r="O109" s="17">
        <v>163262</v>
      </c>
      <c r="P109"/>
      <c r="Q109"/>
      <c r="R109"/>
      <c r="S109"/>
      <c r="T109"/>
      <c r="U109"/>
    </row>
    <row r="110" spans="2:21" ht="15.75">
      <c r="B110" s="252">
        <v>0</v>
      </c>
      <c r="C110" s="2">
        <v>0</v>
      </c>
      <c r="D110" s="2" t="s">
        <v>150</v>
      </c>
      <c r="E110" s="2" t="s">
        <v>412</v>
      </c>
      <c r="F110" s="2" t="s">
        <v>248</v>
      </c>
      <c r="G110" s="2" t="s">
        <v>413</v>
      </c>
      <c r="H110" s="2" t="s">
        <v>232</v>
      </c>
      <c r="I110" s="17"/>
      <c r="J110" s="17">
        <v>11540.85</v>
      </c>
      <c r="K110" s="17">
        <v>150000</v>
      </c>
      <c r="L110" s="17">
        <v>150000</v>
      </c>
      <c r="M110" s="17">
        <v>150000</v>
      </c>
      <c r="N110" s="17">
        <v>150000</v>
      </c>
      <c r="O110" s="17">
        <v>611540.85</v>
      </c>
      <c r="P110"/>
      <c r="Q110"/>
      <c r="R110"/>
      <c r="S110"/>
      <c r="T110"/>
      <c r="U110"/>
    </row>
    <row r="111" spans="2:21" ht="15.75">
      <c r="B111" s="252" t="s">
        <v>556</v>
      </c>
      <c r="C111" s="2" t="s">
        <v>556</v>
      </c>
      <c r="D111" s="2" t="s">
        <v>547</v>
      </c>
      <c r="E111" s="2" t="s">
        <v>547</v>
      </c>
      <c r="F111" s="2" t="s">
        <v>547</v>
      </c>
      <c r="G111" s="2" t="s">
        <v>547</v>
      </c>
      <c r="H111" s="2" t="s">
        <v>547</v>
      </c>
      <c r="I111" s="17"/>
      <c r="J111" s="17"/>
      <c r="K111" s="17"/>
      <c r="L111" s="17"/>
      <c r="M111" s="17"/>
      <c r="N111" s="17"/>
      <c r="O111" s="17">
        <v>0</v>
      </c>
      <c r="P111"/>
      <c r="Q111"/>
      <c r="R111"/>
      <c r="S111"/>
    </row>
    <row r="112" spans="2:21" ht="15">
      <c r="B112" s="2" t="s">
        <v>557</v>
      </c>
      <c r="D112" s="2"/>
      <c r="E112" s="2"/>
      <c r="F112" s="2"/>
      <c r="G112" s="2"/>
      <c r="H112" s="2"/>
      <c r="I112" s="253">
        <v>3743228.32</v>
      </c>
      <c r="J112" s="253">
        <v>3939975.9700000007</v>
      </c>
      <c r="K112" s="17">
        <v>10901933.290219713</v>
      </c>
      <c r="L112" s="17">
        <v>5768245.3009130433</v>
      </c>
      <c r="M112" s="17">
        <v>2056673</v>
      </c>
      <c r="N112" s="17">
        <v>2049935</v>
      </c>
      <c r="O112" s="17">
        <v>28459990.881132759</v>
      </c>
      <c r="P112"/>
      <c r="Q112"/>
      <c r="R112"/>
    </row>
    <row r="113" spans="2:18">
      <c r="B113"/>
      <c r="C113"/>
      <c r="D113"/>
      <c r="E113"/>
      <c r="F113"/>
      <c r="G113"/>
      <c r="H113"/>
      <c r="I113"/>
      <c r="J113"/>
      <c r="K113"/>
      <c r="L113"/>
      <c r="M113"/>
      <c r="N113"/>
      <c r="O113"/>
      <c r="P113"/>
      <c r="Q113"/>
      <c r="R113"/>
    </row>
    <row r="114" spans="2:18">
      <c r="B114"/>
      <c r="C114"/>
      <c r="D114"/>
      <c r="E114"/>
      <c r="F114"/>
      <c r="G114"/>
      <c r="H114"/>
      <c r="I114"/>
      <c r="J114"/>
      <c r="K114"/>
      <c r="L114"/>
      <c r="M114"/>
      <c r="N114"/>
      <c r="O114"/>
      <c r="P114"/>
      <c r="Q114"/>
      <c r="R114"/>
    </row>
    <row r="115" spans="2:18">
      <c r="B115"/>
      <c r="C115"/>
      <c r="D115"/>
      <c r="E115"/>
      <c r="F115"/>
      <c r="G115"/>
      <c r="H115"/>
      <c r="I115"/>
      <c r="J115"/>
      <c r="K115"/>
      <c r="L115"/>
      <c r="M115"/>
      <c r="N115"/>
      <c r="O115"/>
      <c r="P115"/>
      <c r="Q115"/>
      <c r="R115"/>
    </row>
    <row r="116" spans="2:18">
      <c r="B116"/>
      <c r="C116"/>
      <c r="D116"/>
      <c r="E116"/>
      <c r="F116"/>
      <c r="G116"/>
      <c r="H116"/>
      <c r="I116"/>
      <c r="J116"/>
      <c r="K116"/>
      <c r="L116"/>
      <c r="M116"/>
      <c r="N116"/>
      <c r="O116"/>
      <c r="P116"/>
      <c r="Q116"/>
      <c r="R116"/>
    </row>
    <row r="117" spans="2:18">
      <c r="B117"/>
      <c r="C117"/>
      <c r="D117"/>
      <c r="E117"/>
      <c r="F117"/>
      <c r="G117"/>
      <c r="H117"/>
      <c r="I117"/>
      <c r="J117"/>
      <c r="K117"/>
      <c r="L117"/>
      <c r="M117"/>
      <c r="N117"/>
      <c r="O117"/>
      <c r="P117"/>
      <c r="Q117"/>
      <c r="R117"/>
    </row>
    <row r="118" spans="2:18" ht="23.25">
      <c r="B118"/>
      <c r="C118"/>
      <c r="D118"/>
      <c r="E118"/>
      <c r="F118"/>
      <c r="G118"/>
      <c r="H118"/>
      <c r="I118"/>
      <c r="J118" s="254"/>
      <c r="K118"/>
      <c r="L118"/>
      <c r="M118"/>
      <c r="N118"/>
      <c r="O118"/>
      <c r="P118"/>
      <c r="Q118"/>
      <c r="R118"/>
    </row>
    <row r="119" spans="2:18" ht="23.25">
      <c r="B119"/>
      <c r="C119"/>
      <c r="D119"/>
      <c r="E119"/>
      <c r="F119"/>
      <c r="G119"/>
      <c r="H119"/>
      <c r="I119"/>
      <c r="J119" s="255"/>
      <c r="K119"/>
      <c r="L119"/>
      <c r="M119"/>
      <c r="N119"/>
      <c r="O119"/>
      <c r="P119"/>
      <c r="Q119"/>
      <c r="R119"/>
    </row>
    <row r="120" spans="2:18" ht="26.65">
      <c r="B120"/>
      <c r="C120"/>
      <c r="D120"/>
      <c r="E120"/>
      <c r="F120"/>
      <c r="G120"/>
      <c r="H120"/>
      <c r="I120"/>
      <c r="J120" s="256"/>
      <c r="K120"/>
      <c r="L120"/>
      <c r="M120"/>
      <c r="N120"/>
      <c r="O120"/>
      <c r="P120"/>
      <c r="Q120"/>
      <c r="R120"/>
    </row>
    <row r="121" spans="2:18">
      <c r="B121"/>
      <c r="C121"/>
      <c r="D121"/>
      <c r="E121"/>
      <c r="F121"/>
      <c r="G121"/>
      <c r="H121"/>
      <c r="I121"/>
      <c r="J121"/>
      <c r="K121"/>
      <c r="L121"/>
      <c r="M121"/>
      <c r="N121"/>
      <c r="O121"/>
      <c r="P121"/>
      <c r="Q121"/>
      <c r="R121"/>
    </row>
    <row r="122" spans="2:18">
      <c r="B122"/>
      <c r="C122"/>
      <c r="D122"/>
      <c r="E122"/>
      <c r="F122"/>
      <c r="G122"/>
      <c r="H122"/>
      <c r="I122"/>
      <c r="J122"/>
      <c r="K122"/>
      <c r="L122"/>
      <c r="M122"/>
      <c r="N122"/>
      <c r="O122"/>
      <c r="P122"/>
      <c r="Q122"/>
      <c r="R122"/>
    </row>
    <row r="123" spans="2:18">
      <c r="B123"/>
      <c r="C123"/>
      <c r="D123"/>
      <c r="E123"/>
      <c r="F123"/>
      <c r="G123"/>
      <c r="H123"/>
      <c r="I123"/>
      <c r="J123"/>
      <c r="K123"/>
      <c r="L123"/>
      <c r="M123"/>
      <c r="N123"/>
      <c r="O123"/>
      <c r="P123"/>
      <c r="Q123"/>
      <c r="R123"/>
    </row>
    <row r="124" spans="2:18">
      <c r="B124"/>
      <c r="C124"/>
      <c r="D124"/>
      <c r="E124"/>
      <c r="F124"/>
      <c r="G124"/>
      <c r="H124"/>
      <c r="I124"/>
      <c r="J124"/>
      <c r="K124"/>
      <c r="L124"/>
      <c r="M124"/>
      <c r="N124"/>
      <c r="O124"/>
      <c r="P124"/>
      <c r="Q124"/>
      <c r="R124"/>
    </row>
    <row r="125" spans="2:18">
      <c r="B125" s="36"/>
      <c r="C125" s="36"/>
      <c r="D125"/>
      <c r="E125"/>
      <c r="F125"/>
      <c r="G125"/>
      <c r="H125" s="147"/>
      <c r="I125"/>
      <c r="J125"/>
      <c r="K125"/>
      <c r="L125"/>
      <c r="M125"/>
      <c r="N125"/>
      <c r="O125"/>
      <c r="P125"/>
      <c r="Q125"/>
      <c r="R125"/>
    </row>
    <row r="126" spans="2:18">
      <c r="B126" s="36"/>
      <c r="C126" s="36"/>
      <c r="D126"/>
      <c r="E126"/>
      <c r="F126"/>
      <c r="G126"/>
      <c r="H126" s="147"/>
      <c r="I126"/>
      <c r="J126"/>
      <c r="K126"/>
      <c r="L126"/>
      <c r="M126"/>
      <c r="N126"/>
      <c r="O126" s="179">
        <f>O124*0.15</f>
        <v>0</v>
      </c>
      <c r="P126"/>
      <c r="Q126"/>
      <c r="R126"/>
    </row>
    <row r="127" spans="2:18">
      <c r="B127" s="36"/>
      <c r="C127" s="36"/>
      <c r="D127"/>
      <c r="E127"/>
      <c r="F127"/>
      <c r="G127"/>
      <c r="H127" s="147"/>
      <c r="I127"/>
      <c r="J127"/>
      <c r="K127"/>
      <c r="L127"/>
      <c r="M127"/>
      <c r="N127"/>
      <c r="O127"/>
      <c r="P127"/>
      <c r="Q127"/>
      <c r="R127"/>
    </row>
    <row r="128" spans="2:18">
      <c r="B128" s="36"/>
      <c r="C128" s="36"/>
      <c r="D128"/>
      <c r="E128"/>
      <c r="F128"/>
      <c r="G128"/>
      <c r="H128" s="147"/>
      <c r="I128"/>
      <c r="J128"/>
      <c r="K128"/>
      <c r="L128"/>
      <c r="M128"/>
      <c r="N128"/>
      <c r="O128"/>
      <c r="P128"/>
      <c r="Q128"/>
      <c r="R128"/>
    </row>
    <row r="129" spans="2:18">
      <c r="B129" s="36"/>
      <c r="C129" s="36"/>
      <c r="D129"/>
      <c r="E129"/>
      <c r="F129"/>
      <c r="G129"/>
      <c r="H129" s="147"/>
      <c r="I129"/>
      <c r="J129"/>
      <c r="K129"/>
      <c r="L129"/>
      <c r="M129"/>
      <c r="N129"/>
      <c r="O129"/>
      <c r="P129"/>
      <c r="Q129"/>
      <c r="R129"/>
    </row>
    <row r="130" spans="2:18">
      <c r="B130" s="36"/>
      <c r="C130" s="36"/>
      <c r="D130"/>
      <c r="E130"/>
      <c r="F130"/>
      <c r="G130"/>
      <c r="H130" s="147"/>
      <c r="I130"/>
      <c r="J130"/>
      <c r="K130"/>
      <c r="L130"/>
      <c r="M130"/>
      <c r="N130"/>
      <c r="O130"/>
      <c r="P130"/>
      <c r="Q130"/>
      <c r="R130"/>
    </row>
    <row r="131" spans="2:18">
      <c r="B131" s="36"/>
      <c r="C131" s="36"/>
      <c r="D131"/>
      <c r="E131"/>
      <c r="F131"/>
      <c r="G131"/>
      <c r="H131" s="147"/>
      <c r="I131"/>
      <c r="J131"/>
      <c r="K131"/>
      <c r="L131"/>
      <c r="M131"/>
      <c r="N131"/>
      <c r="O131"/>
      <c r="P131"/>
      <c r="Q131"/>
      <c r="R131"/>
    </row>
    <row r="132" spans="2:18">
      <c r="B132" s="36"/>
      <c r="C132" s="36"/>
      <c r="D132"/>
      <c r="E132"/>
      <c r="F132"/>
      <c r="G132"/>
      <c r="H132" s="147"/>
      <c r="I132"/>
      <c r="J132"/>
      <c r="K132"/>
      <c r="L132"/>
      <c r="M132"/>
      <c r="N132"/>
      <c r="O132"/>
      <c r="P132"/>
      <c r="Q132"/>
      <c r="R132"/>
    </row>
    <row r="133" spans="2:18">
      <c r="B133" s="36"/>
      <c r="C133" s="36"/>
      <c r="D133"/>
      <c r="E133"/>
      <c r="F133"/>
      <c r="G133"/>
      <c r="H133" s="147"/>
      <c r="I133"/>
      <c r="J133"/>
      <c r="K133"/>
      <c r="L133"/>
      <c r="M133"/>
      <c r="N133"/>
      <c r="O133"/>
      <c r="P133"/>
      <c r="Q133"/>
      <c r="R133"/>
    </row>
    <row r="134" spans="2:18">
      <c r="B134" s="36"/>
      <c r="C134" s="36"/>
      <c r="D134"/>
      <c r="E134"/>
      <c r="F134"/>
      <c r="G134"/>
      <c r="H134" s="147"/>
      <c r="I134"/>
      <c r="J134"/>
      <c r="K134"/>
      <c r="L134"/>
      <c r="M134"/>
      <c r="N134"/>
      <c r="O134"/>
      <c r="P134"/>
      <c r="Q134"/>
      <c r="R134"/>
    </row>
    <row r="135" spans="2:18">
      <c r="B135" s="36"/>
      <c r="C135" s="36"/>
      <c r="D135"/>
      <c r="E135"/>
      <c r="F135"/>
      <c r="G135"/>
      <c r="H135" s="147"/>
      <c r="I135"/>
      <c r="J135"/>
      <c r="K135"/>
      <c r="L135"/>
      <c r="M135"/>
      <c r="N135"/>
      <c r="O135"/>
      <c r="P135"/>
      <c r="Q135"/>
      <c r="R135"/>
    </row>
    <row r="136" spans="2:18">
      <c r="B136" s="36"/>
      <c r="C136" s="36"/>
      <c r="D136"/>
      <c r="E136"/>
      <c r="F136"/>
      <c r="G136"/>
      <c r="H136" s="147"/>
      <c r="I136"/>
      <c r="J136"/>
      <c r="K136"/>
      <c r="L136"/>
      <c r="M136"/>
      <c r="N136"/>
      <c r="O136"/>
      <c r="P136"/>
      <c r="Q136"/>
      <c r="R136"/>
    </row>
    <row r="137" spans="2:18">
      <c r="B137" s="36"/>
      <c r="C137" s="36"/>
      <c r="D137"/>
      <c r="E137"/>
      <c r="F137"/>
      <c r="G137"/>
      <c r="H137" s="147"/>
      <c r="I137"/>
      <c r="J137"/>
      <c r="K137"/>
      <c r="L137"/>
      <c r="M137"/>
      <c r="N137"/>
      <c r="O137"/>
      <c r="P137"/>
      <c r="Q137"/>
      <c r="R137"/>
    </row>
    <row r="138" spans="2:18">
      <c r="B138" s="36"/>
      <c r="C138" s="36"/>
      <c r="D138"/>
      <c r="E138"/>
      <c r="F138"/>
      <c r="G138"/>
      <c r="H138" s="147"/>
      <c r="I138"/>
      <c r="J138"/>
      <c r="K138"/>
      <c r="L138"/>
      <c r="M138"/>
      <c r="N138"/>
      <c r="O138"/>
      <c r="P138"/>
      <c r="Q138"/>
      <c r="R138"/>
    </row>
    <row r="139" spans="2:18">
      <c r="B139" s="36"/>
      <c r="C139" s="36"/>
      <c r="D139"/>
      <c r="E139"/>
      <c r="F139"/>
      <c r="G139"/>
      <c r="H139" s="147"/>
      <c r="I139"/>
      <c r="J139"/>
      <c r="K139"/>
      <c r="L139"/>
      <c r="M139"/>
      <c r="N139"/>
      <c r="O139"/>
      <c r="P139"/>
      <c r="Q139"/>
      <c r="R139"/>
    </row>
    <row r="140" spans="2:18">
      <c r="B140" s="36"/>
      <c r="C140" s="36"/>
      <c r="D140"/>
      <c r="E140"/>
      <c r="F140"/>
      <c r="G140"/>
      <c r="H140" s="147"/>
      <c r="I140"/>
      <c r="J140"/>
      <c r="K140"/>
      <c r="L140"/>
      <c r="M140"/>
      <c r="N140"/>
      <c r="O140"/>
      <c r="P140"/>
      <c r="Q140"/>
      <c r="R140"/>
    </row>
    <row r="141" spans="2:18">
      <c r="B141" s="36"/>
      <c r="C141" s="36"/>
      <c r="D141"/>
      <c r="E141"/>
      <c r="F141"/>
      <c r="G141"/>
      <c r="H141" s="147"/>
      <c r="I141"/>
      <c r="J141"/>
      <c r="K141"/>
      <c r="L141"/>
      <c r="M141"/>
      <c r="N141"/>
      <c r="O141"/>
      <c r="P141"/>
      <c r="Q141"/>
      <c r="R141"/>
    </row>
    <row r="142" spans="2:18">
      <c r="B142" s="36"/>
      <c r="C142" s="36"/>
      <c r="D142"/>
      <c r="E142"/>
      <c r="F142"/>
      <c r="G142"/>
      <c r="H142" s="147"/>
      <c r="I142"/>
      <c r="J142"/>
      <c r="K142"/>
      <c r="L142"/>
      <c r="M142"/>
      <c r="N142"/>
      <c r="O142"/>
      <c r="P142"/>
      <c r="Q142"/>
      <c r="R142"/>
    </row>
    <row r="143" spans="2:18">
      <c r="B143" s="36"/>
      <c r="C143" s="36"/>
      <c r="D143"/>
      <c r="E143"/>
      <c r="F143"/>
      <c r="G143"/>
      <c r="H143" s="147"/>
      <c r="I143"/>
      <c r="J143"/>
      <c r="K143"/>
      <c r="L143"/>
      <c r="M143"/>
      <c r="N143"/>
      <c r="O143"/>
      <c r="P143"/>
      <c r="Q143"/>
      <c r="R143"/>
    </row>
    <row r="144" spans="2:18">
      <c r="B144" s="36"/>
      <c r="C144" s="36"/>
      <c r="D144"/>
      <c r="E144"/>
      <c r="F144"/>
      <c r="G144"/>
      <c r="H144" s="147"/>
      <c r="I144"/>
      <c r="J144"/>
      <c r="K144"/>
      <c r="L144"/>
      <c r="M144"/>
      <c r="N144"/>
      <c r="O144"/>
      <c r="P144"/>
      <c r="Q144"/>
      <c r="R144"/>
    </row>
    <row r="145" spans="2:18">
      <c r="B145" s="36"/>
      <c r="C145" s="36"/>
      <c r="D145"/>
      <c r="E145"/>
      <c r="F145"/>
      <c r="G145"/>
      <c r="H145" s="147"/>
      <c r="I145"/>
      <c r="J145"/>
      <c r="K145"/>
      <c r="L145"/>
      <c r="M145"/>
      <c r="N145"/>
      <c r="O145"/>
      <c r="P145"/>
      <c r="Q145"/>
      <c r="R145"/>
    </row>
    <row r="146" spans="2:18">
      <c r="B146" s="36"/>
      <c r="C146" s="36"/>
      <c r="D146"/>
      <c r="E146"/>
      <c r="F146"/>
      <c r="G146"/>
      <c r="H146" s="147"/>
      <c r="I146"/>
      <c r="J146"/>
      <c r="K146"/>
      <c r="L146"/>
      <c r="M146"/>
      <c r="N146"/>
      <c r="O146"/>
      <c r="P146"/>
      <c r="Q146"/>
      <c r="R146"/>
    </row>
    <row r="147" spans="2:18">
      <c r="B147" s="36"/>
      <c r="C147" s="36"/>
      <c r="D147"/>
      <c r="E147"/>
      <c r="F147"/>
      <c r="G147"/>
      <c r="H147" s="147"/>
      <c r="I147"/>
      <c r="J147"/>
      <c r="K147"/>
      <c r="L147"/>
      <c r="M147"/>
      <c r="N147"/>
      <c r="O147"/>
      <c r="P147"/>
      <c r="Q147"/>
      <c r="R147"/>
    </row>
    <row r="148" spans="2:18">
      <c r="B148" s="36"/>
      <c r="C148" s="36"/>
      <c r="D148"/>
      <c r="E148"/>
      <c r="F148"/>
      <c r="G148"/>
      <c r="H148" s="147"/>
      <c r="I148"/>
      <c r="J148"/>
      <c r="K148"/>
      <c r="L148"/>
      <c r="M148"/>
      <c r="N148"/>
      <c r="O148"/>
      <c r="P148"/>
      <c r="Q148"/>
      <c r="R148"/>
    </row>
    <row r="149" spans="2:18">
      <c r="B149" s="36"/>
      <c r="C149" s="36"/>
      <c r="D149"/>
      <c r="E149"/>
      <c r="F149"/>
      <c r="G149"/>
      <c r="H149" s="147"/>
      <c r="I149"/>
      <c r="J149"/>
      <c r="K149"/>
      <c r="L149"/>
      <c r="M149"/>
      <c r="N149"/>
      <c r="O149"/>
      <c r="P149"/>
      <c r="Q149"/>
      <c r="R149"/>
    </row>
    <row r="150" spans="2:18">
      <c r="B150" s="36"/>
      <c r="C150" s="36"/>
      <c r="D150"/>
      <c r="E150"/>
      <c r="F150"/>
      <c r="G150"/>
      <c r="H150" s="147"/>
      <c r="I150"/>
      <c r="J150"/>
      <c r="K150"/>
      <c r="L150"/>
      <c r="M150"/>
      <c r="N150"/>
      <c r="O150"/>
      <c r="P150"/>
      <c r="Q150"/>
      <c r="R150"/>
    </row>
    <row r="151" spans="2:18">
      <c r="B151" s="36"/>
      <c r="C151" s="36"/>
      <c r="D151"/>
      <c r="E151"/>
      <c r="F151"/>
      <c r="G151"/>
      <c r="H151" s="147"/>
      <c r="I151"/>
      <c r="J151"/>
      <c r="K151"/>
      <c r="L151"/>
      <c r="M151"/>
      <c r="N151"/>
      <c r="O151"/>
      <c r="P151"/>
      <c r="Q151"/>
      <c r="R151"/>
    </row>
    <row r="152" spans="2:18">
      <c r="B152" s="36"/>
      <c r="C152" s="36"/>
      <c r="D152"/>
      <c r="E152"/>
      <c r="F152"/>
      <c r="G152"/>
      <c r="H152" s="147"/>
      <c r="I152"/>
      <c r="J152"/>
      <c r="K152"/>
      <c r="L152"/>
      <c r="M152"/>
      <c r="N152"/>
      <c r="O152"/>
      <c r="P152"/>
      <c r="Q152"/>
      <c r="R152"/>
    </row>
    <row r="153" spans="2:18">
      <c r="B153" s="36"/>
      <c r="C153" s="36"/>
      <c r="D153"/>
      <c r="E153"/>
      <c r="F153"/>
      <c r="G153"/>
      <c r="H153" s="147"/>
      <c r="I153"/>
      <c r="J153"/>
      <c r="K153"/>
      <c r="L153"/>
      <c r="M153"/>
      <c r="N153"/>
      <c r="O153"/>
      <c r="P153"/>
      <c r="Q153"/>
      <c r="R153"/>
    </row>
    <row r="154" spans="2:18">
      <c r="B154" s="36"/>
      <c r="C154" s="36"/>
      <c r="D154"/>
      <c r="E154"/>
      <c r="F154"/>
      <c r="G154"/>
      <c r="H154" s="147"/>
      <c r="I154"/>
      <c r="J154"/>
      <c r="K154"/>
      <c r="L154"/>
      <c r="M154"/>
      <c r="N154"/>
      <c r="O154"/>
      <c r="P154"/>
      <c r="Q154"/>
      <c r="R154"/>
    </row>
    <row r="155" spans="2:18">
      <c r="B155" s="36"/>
      <c r="C155" s="36"/>
      <c r="D155"/>
      <c r="E155"/>
      <c r="F155"/>
      <c r="G155"/>
      <c r="H155" s="147"/>
      <c r="I155"/>
      <c r="J155"/>
      <c r="K155"/>
      <c r="L155"/>
      <c r="M155"/>
      <c r="N155"/>
      <c r="O155"/>
      <c r="P155"/>
      <c r="Q155"/>
      <c r="R155"/>
    </row>
    <row r="156" spans="2:18">
      <c r="B156" s="36"/>
      <c r="C156" s="36"/>
      <c r="D156"/>
      <c r="E156"/>
      <c r="F156"/>
      <c r="G156"/>
      <c r="H156" s="147"/>
      <c r="I156"/>
      <c r="J156"/>
      <c r="K156"/>
      <c r="L156"/>
      <c r="M156"/>
      <c r="N156"/>
      <c r="O156"/>
      <c r="P156"/>
      <c r="Q156"/>
      <c r="R156"/>
    </row>
    <row r="157" spans="2:18">
      <c r="B157" s="36"/>
      <c r="C157" s="36"/>
      <c r="D157"/>
      <c r="E157"/>
      <c r="F157"/>
      <c r="G157"/>
      <c r="H157" s="147"/>
      <c r="I157"/>
      <c r="J157"/>
      <c r="K157"/>
      <c r="L157"/>
      <c r="M157"/>
      <c r="N157"/>
      <c r="O157"/>
      <c r="P157"/>
      <c r="Q157"/>
      <c r="R157"/>
    </row>
    <row r="158" spans="2:18">
      <c r="B158" s="36"/>
      <c r="C158" s="36"/>
      <c r="D158"/>
      <c r="E158"/>
      <c r="F158"/>
      <c r="G158"/>
      <c r="H158" s="147"/>
      <c r="I158"/>
      <c r="J158"/>
      <c r="K158"/>
      <c r="L158"/>
      <c r="M158"/>
      <c r="N158"/>
      <c r="O158"/>
      <c r="P158"/>
      <c r="Q158"/>
      <c r="R158"/>
    </row>
    <row r="159" spans="2:18">
      <c r="B159" s="36"/>
      <c r="C159" s="36"/>
      <c r="D159"/>
      <c r="E159"/>
      <c r="F159"/>
      <c r="G159"/>
      <c r="H159" s="147"/>
      <c r="I159"/>
      <c r="J159"/>
      <c r="K159"/>
      <c r="L159"/>
      <c r="M159"/>
      <c r="N159"/>
      <c r="O159"/>
      <c r="P159"/>
      <c r="Q159"/>
      <c r="R159"/>
    </row>
    <row r="160" spans="2:18">
      <c r="B160" s="36"/>
      <c r="C160" s="36"/>
      <c r="D160"/>
      <c r="E160"/>
      <c r="F160"/>
      <c r="G160"/>
      <c r="H160" s="147"/>
      <c r="I160"/>
      <c r="J160"/>
      <c r="K160"/>
      <c r="L160"/>
      <c r="M160"/>
      <c r="N160"/>
      <c r="O160"/>
      <c r="P160"/>
      <c r="Q160"/>
      <c r="R160"/>
    </row>
    <row r="161" spans="2:18">
      <c r="B161" s="36"/>
      <c r="C161" s="36"/>
      <c r="D161"/>
      <c r="E161"/>
      <c r="F161"/>
      <c r="G161"/>
      <c r="H161" s="147"/>
      <c r="I161"/>
      <c r="J161"/>
      <c r="K161"/>
      <c r="L161"/>
      <c r="M161"/>
      <c r="N161"/>
      <c r="O161"/>
      <c r="P161"/>
      <c r="Q161"/>
      <c r="R161"/>
    </row>
    <row r="162" spans="2:18">
      <c r="B162" s="36"/>
      <c r="C162" s="36"/>
      <c r="D162"/>
      <c r="E162"/>
      <c r="F162"/>
      <c r="G162"/>
      <c r="H162" s="147"/>
      <c r="I162"/>
      <c r="J162"/>
      <c r="K162"/>
      <c r="L162"/>
      <c r="M162"/>
      <c r="N162"/>
      <c r="O162"/>
      <c r="P162"/>
      <c r="Q162"/>
      <c r="R162"/>
    </row>
    <row r="163" spans="2:18">
      <c r="B163" s="36"/>
      <c r="C163" s="36"/>
      <c r="D163"/>
      <c r="E163"/>
      <c r="F163"/>
      <c r="G163"/>
      <c r="H163" s="147"/>
      <c r="I163"/>
      <c r="J163"/>
      <c r="K163"/>
      <c r="L163"/>
      <c r="M163"/>
      <c r="N163"/>
      <c r="O163"/>
      <c r="P163"/>
      <c r="Q163"/>
      <c r="R163"/>
    </row>
    <row r="164" spans="2:18">
      <c r="B164" s="36"/>
      <c r="C164" s="36"/>
      <c r="D164"/>
      <c r="E164"/>
      <c r="F164"/>
      <c r="G164"/>
      <c r="H164" s="147"/>
      <c r="I164"/>
      <c r="J164"/>
      <c r="K164"/>
      <c r="L164"/>
      <c r="M164"/>
      <c r="N164"/>
      <c r="O164"/>
      <c r="P164"/>
      <c r="Q164"/>
      <c r="R164"/>
    </row>
    <row r="165" spans="2:18">
      <c r="B165" s="36"/>
      <c r="C165" s="36"/>
      <c r="D165"/>
      <c r="E165"/>
      <c r="F165"/>
      <c r="G165"/>
      <c r="H165" s="147"/>
      <c r="I165"/>
      <c r="J165"/>
      <c r="K165"/>
      <c r="L165"/>
      <c r="M165"/>
      <c r="N165"/>
      <c r="O165"/>
      <c r="P165"/>
      <c r="Q165"/>
      <c r="R165"/>
    </row>
    <row r="166" spans="2:18">
      <c r="B166" s="36"/>
      <c r="C166" s="36"/>
      <c r="D166"/>
      <c r="E166"/>
      <c r="F166"/>
      <c r="G166"/>
      <c r="H166" s="147"/>
      <c r="I166"/>
      <c r="J166"/>
      <c r="K166"/>
      <c r="L166"/>
      <c r="M166"/>
      <c r="N166"/>
      <c r="O166"/>
      <c r="P166"/>
      <c r="Q166"/>
      <c r="R166"/>
    </row>
    <row r="167" spans="2:18">
      <c r="B167" s="36"/>
      <c r="C167" s="36"/>
      <c r="D167"/>
      <c r="E167"/>
      <c r="F167"/>
      <c r="G167"/>
      <c r="H167" s="147"/>
      <c r="I167"/>
      <c r="J167"/>
      <c r="K167"/>
      <c r="L167"/>
      <c r="M167"/>
      <c r="N167"/>
      <c r="O167"/>
      <c r="P167"/>
      <c r="Q167"/>
      <c r="R167"/>
    </row>
    <row r="168" spans="2:18">
      <c r="B168" s="36"/>
      <c r="C168" s="36"/>
      <c r="D168"/>
      <c r="E168"/>
      <c r="F168"/>
      <c r="G168"/>
      <c r="H168" s="147"/>
      <c r="I168"/>
      <c r="J168"/>
      <c r="K168"/>
      <c r="L168"/>
      <c r="M168"/>
      <c r="N168"/>
      <c r="O168"/>
      <c r="P168"/>
      <c r="Q168"/>
      <c r="R168"/>
    </row>
    <row r="169" spans="2:18">
      <c r="B169" s="36"/>
      <c r="C169" s="36"/>
      <c r="D169"/>
      <c r="E169"/>
      <c r="F169"/>
      <c r="G169"/>
      <c r="H169" s="147"/>
      <c r="I169"/>
      <c r="J169"/>
      <c r="K169"/>
      <c r="L169"/>
      <c r="M169"/>
      <c r="N169"/>
      <c r="O169"/>
      <c r="P169"/>
      <c r="Q169"/>
      <c r="R169"/>
    </row>
    <row r="170" spans="2:18">
      <c r="B170" s="36"/>
      <c r="C170" s="36"/>
      <c r="D170"/>
      <c r="E170"/>
      <c r="F170"/>
      <c r="G170"/>
      <c r="H170" s="147"/>
      <c r="I170"/>
      <c r="J170"/>
      <c r="K170"/>
      <c r="L170"/>
      <c r="M170"/>
      <c r="N170"/>
      <c r="O170"/>
      <c r="P170"/>
      <c r="Q170"/>
      <c r="R170"/>
    </row>
    <row r="171" spans="2:18">
      <c r="B171" s="36"/>
      <c r="C171" s="36"/>
      <c r="D171"/>
      <c r="E171"/>
      <c r="F171"/>
      <c r="G171"/>
      <c r="H171" s="147"/>
      <c r="I171"/>
      <c r="J171"/>
      <c r="K171"/>
      <c r="L171"/>
      <c r="M171"/>
      <c r="N171"/>
      <c r="O171"/>
      <c r="P171"/>
      <c r="Q171"/>
      <c r="R171"/>
    </row>
    <row r="172" spans="2:18">
      <c r="B172" s="36"/>
      <c r="C172" s="36"/>
      <c r="D172"/>
      <c r="E172"/>
      <c r="F172"/>
      <c r="G172"/>
      <c r="H172" s="147"/>
      <c r="I172"/>
      <c r="J172"/>
      <c r="K172"/>
      <c r="L172"/>
      <c r="M172"/>
      <c r="N172"/>
      <c r="O172"/>
      <c r="P172"/>
      <c r="Q172"/>
      <c r="R172"/>
    </row>
    <row r="173" spans="2:18">
      <c r="B173" s="36"/>
      <c r="C173" s="36"/>
      <c r="D173"/>
      <c r="E173"/>
      <c r="F173"/>
      <c r="G173"/>
      <c r="H173" s="147"/>
      <c r="I173"/>
      <c r="J173"/>
      <c r="K173"/>
      <c r="L173"/>
      <c r="M173"/>
      <c r="N173"/>
      <c r="O173"/>
      <c r="P173"/>
      <c r="Q173"/>
      <c r="R173"/>
    </row>
    <row r="174" spans="2:18">
      <c r="B174" s="36"/>
      <c r="C174" s="36"/>
      <c r="D174"/>
      <c r="E174"/>
      <c r="F174"/>
      <c r="G174"/>
      <c r="H174" s="147"/>
      <c r="I174"/>
      <c r="J174"/>
      <c r="K174"/>
      <c r="L174"/>
      <c r="M174"/>
      <c r="N174"/>
      <c r="O174"/>
      <c r="P174"/>
      <c r="Q174"/>
      <c r="R174"/>
    </row>
    <row r="175" spans="2:18">
      <c r="B175" s="36"/>
      <c r="C175" s="36"/>
      <c r="D175"/>
      <c r="E175"/>
      <c r="F175"/>
      <c r="G175"/>
      <c r="H175" s="147"/>
      <c r="I175"/>
      <c r="J175"/>
      <c r="K175"/>
      <c r="L175"/>
      <c r="M175"/>
      <c r="N175"/>
      <c r="O175"/>
      <c r="P175"/>
      <c r="Q175"/>
      <c r="R175"/>
    </row>
    <row r="176" spans="2:18">
      <c r="B176" s="36"/>
      <c r="C176" s="36"/>
      <c r="D176"/>
      <c r="E176"/>
      <c r="F176"/>
      <c r="G176"/>
      <c r="H176" s="147"/>
      <c r="I176"/>
      <c r="J176"/>
      <c r="K176"/>
      <c r="L176"/>
      <c r="M176"/>
      <c r="N176"/>
      <c r="O176"/>
      <c r="P176"/>
      <c r="Q176"/>
      <c r="R176"/>
    </row>
    <row r="177" spans="2:18">
      <c r="B177" s="36"/>
      <c r="C177" s="36"/>
      <c r="D177"/>
      <c r="E177"/>
      <c r="F177"/>
      <c r="G177"/>
      <c r="H177" s="147"/>
      <c r="I177"/>
      <c r="J177"/>
      <c r="K177"/>
      <c r="L177"/>
      <c r="M177"/>
      <c r="N177"/>
      <c r="O177"/>
      <c r="P177"/>
      <c r="Q177"/>
      <c r="R177"/>
    </row>
    <row r="178" spans="2:18">
      <c r="B178" s="36"/>
      <c r="C178" s="36"/>
      <c r="D178"/>
      <c r="E178"/>
      <c r="F178"/>
      <c r="G178"/>
      <c r="H178" s="147"/>
      <c r="I178"/>
      <c r="J178"/>
      <c r="K178"/>
      <c r="L178"/>
      <c r="M178"/>
      <c r="N178"/>
      <c r="O178"/>
      <c r="P178"/>
      <c r="Q178"/>
      <c r="R178"/>
    </row>
    <row r="179" spans="2:18">
      <c r="B179" s="36"/>
      <c r="C179" s="36"/>
      <c r="D179"/>
      <c r="E179"/>
      <c r="F179"/>
      <c r="G179"/>
      <c r="H179" s="147"/>
      <c r="I179"/>
      <c r="J179"/>
      <c r="K179"/>
      <c r="L179"/>
      <c r="M179"/>
      <c r="N179"/>
      <c r="O179"/>
      <c r="P179"/>
      <c r="Q179"/>
      <c r="R179"/>
    </row>
    <row r="180" spans="2:18">
      <c r="B180" s="36"/>
      <c r="C180" s="36"/>
      <c r="D180"/>
      <c r="E180"/>
      <c r="F180"/>
      <c r="G180"/>
      <c r="H180" s="147"/>
      <c r="I180"/>
      <c r="J180"/>
      <c r="K180"/>
      <c r="L180"/>
      <c r="M180"/>
      <c r="N180"/>
      <c r="O180"/>
      <c r="P180"/>
      <c r="Q180"/>
      <c r="R180"/>
    </row>
    <row r="181" spans="2:18">
      <c r="B181" s="36"/>
      <c r="C181" s="36"/>
      <c r="D181"/>
      <c r="E181"/>
      <c r="F181"/>
      <c r="G181"/>
      <c r="H181" s="147"/>
      <c r="I181"/>
      <c r="J181"/>
      <c r="K181"/>
      <c r="L181"/>
      <c r="M181"/>
      <c r="N181"/>
      <c r="O181"/>
      <c r="P181"/>
      <c r="Q181"/>
      <c r="R181"/>
    </row>
    <row r="182" spans="2:18">
      <c r="B182" s="36"/>
      <c r="C182" s="36"/>
      <c r="D182"/>
      <c r="E182"/>
      <c r="F182"/>
      <c r="G182"/>
      <c r="H182" s="147"/>
      <c r="I182"/>
      <c r="J182"/>
      <c r="K182"/>
      <c r="L182"/>
      <c r="M182"/>
      <c r="N182"/>
      <c r="O182"/>
      <c r="P182"/>
      <c r="Q182"/>
      <c r="R182"/>
    </row>
    <row r="183" spans="2:18">
      <c r="B183" s="36"/>
      <c r="C183" s="36"/>
      <c r="D183"/>
      <c r="E183"/>
      <c r="F183"/>
      <c r="G183"/>
      <c r="H183" s="147"/>
      <c r="I183"/>
      <c r="J183"/>
      <c r="K183"/>
      <c r="L183"/>
      <c r="M183"/>
      <c r="N183"/>
      <c r="O183"/>
      <c r="P183"/>
      <c r="Q183"/>
      <c r="R183"/>
    </row>
    <row r="184" spans="2:18">
      <c r="B184" s="36"/>
      <c r="C184" s="36"/>
      <c r="D184"/>
      <c r="E184"/>
      <c r="F184"/>
      <c r="G184"/>
      <c r="H184" s="147"/>
      <c r="I184"/>
      <c r="J184"/>
      <c r="K184"/>
      <c r="L184"/>
      <c r="M184"/>
      <c r="N184"/>
      <c r="O184"/>
      <c r="P184"/>
      <c r="Q184"/>
      <c r="R184"/>
    </row>
    <row r="185" spans="2:18">
      <c r="B185" s="36"/>
      <c r="C185" s="36"/>
      <c r="D185"/>
      <c r="E185"/>
      <c r="F185"/>
      <c r="G185"/>
      <c r="H185" s="147"/>
      <c r="I185"/>
      <c r="J185"/>
      <c r="K185"/>
      <c r="L185"/>
      <c r="M185"/>
      <c r="N185"/>
      <c r="O185"/>
      <c r="P185"/>
      <c r="Q185"/>
      <c r="R185"/>
    </row>
    <row r="186" spans="2:18">
      <c r="B186" s="36"/>
      <c r="C186" s="36"/>
      <c r="D186"/>
      <c r="E186"/>
      <c r="F186"/>
      <c r="G186"/>
      <c r="H186" s="147"/>
      <c r="I186"/>
      <c r="J186"/>
      <c r="K186"/>
      <c r="L186"/>
      <c r="M186"/>
      <c r="N186"/>
      <c r="O186"/>
      <c r="P186"/>
      <c r="Q186"/>
      <c r="R186"/>
    </row>
    <row r="187" spans="2:18">
      <c r="B187" s="36"/>
      <c r="C187" s="36"/>
      <c r="D187"/>
      <c r="E187"/>
      <c r="F187"/>
      <c r="G187"/>
      <c r="H187" s="147"/>
      <c r="I187"/>
      <c r="J187"/>
      <c r="K187"/>
      <c r="L187"/>
      <c r="M187"/>
      <c r="N187"/>
      <c r="O187"/>
      <c r="P187"/>
      <c r="Q187"/>
      <c r="R187"/>
    </row>
    <row r="188" spans="2:18">
      <c r="B188" s="36"/>
      <c r="C188" s="36"/>
      <c r="D188"/>
      <c r="E188"/>
      <c r="F188"/>
      <c r="G188"/>
      <c r="H188" s="147"/>
      <c r="I188"/>
      <c r="J188"/>
      <c r="K188"/>
      <c r="L188"/>
      <c r="M188"/>
      <c r="N188"/>
      <c r="O188"/>
      <c r="P188"/>
      <c r="Q188"/>
      <c r="R188"/>
    </row>
    <row r="189" spans="2:18">
      <c r="B189" s="36"/>
      <c r="C189" s="36"/>
      <c r="D189"/>
      <c r="E189"/>
      <c r="F189"/>
      <c r="G189"/>
      <c r="H189" s="147"/>
      <c r="I189"/>
      <c r="J189"/>
      <c r="K189"/>
      <c r="L189"/>
      <c r="M189"/>
      <c r="N189"/>
      <c r="O189"/>
      <c r="P189"/>
      <c r="Q189"/>
      <c r="R189"/>
    </row>
    <row r="190" spans="2:18">
      <c r="B190" s="36"/>
      <c r="C190" s="36"/>
      <c r="D190"/>
      <c r="E190"/>
      <c r="F190"/>
      <c r="G190"/>
      <c r="H190" s="147"/>
      <c r="I190"/>
      <c r="J190"/>
      <c r="K190"/>
      <c r="L190"/>
      <c r="M190"/>
      <c r="N190"/>
      <c r="O190"/>
      <c r="P190"/>
      <c r="Q190"/>
      <c r="R190"/>
    </row>
    <row r="191" spans="2:18">
      <c r="B191" s="36"/>
      <c r="C191" s="36"/>
      <c r="D191"/>
      <c r="E191"/>
      <c r="F191"/>
      <c r="G191"/>
      <c r="H191" s="147"/>
      <c r="I191"/>
      <c r="J191"/>
      <c r="K191"/>
      <c r="L191"/>
      <c r="M191"/>
      <c r="N191"/>
      <c r="O191"/>
      <c r="P191"/>
      <c r="Q191"/>
      <c r="R191"/>
    </row>
    <row r="192" spans="2:18">
      <c r="B192" s="36"/>
      <c r="C192" s="36"/>
      <c r="D192"/>
      <c r="E192"/>
      <c r="F192"/>
      <c r="G192"/>
      <c r="H192" s="147"/>
      <c r="I192"/>
      <c r="J192"/>
      <c r="K192"/>
      <c r="L192"/>
      <c r="M192"/>
      <c r="N192"/>
      <c r="O192"/>
      <c r="P192"/>
      <c r="Q192"/>
      <c r="R192"/>
    </row>
    <row r="193" spans="2:18">
      <c r="B193" s="36"/>
      <c r="C193" s="36"/>
      <c r="D193"/>
      <c r="E193"/>
      <c r="F193"/>
      <c r="G193"/>
      <c r="H193" s="147"/>
      <c r="I193"/>
      <c r="J193"/>
      <c r="K193"/>
      <c r="L193"/>
      <c r="M193"/>
      <c r="N193"/>
      <c r="O193"/>
      <c r="P193"/>
      <c r="Q193"/>
      <c r="R193"/>
    </row>
    <row r="194" spans="2:18">
      <c r="B194" s="36"/>
      <c r="C194" s="36"/>
      <c r="D194"/>
      <c r="E194"/>
      <c r="F194"/>
      <c r="G194"/>
      <c r="H194" s="147"/>
      <c r="I194"/>
      <c r="J194"/>
      <c r="K194"/>
      <c r="L194"/>
      <c r="M194"/>
      <c r="N194"/>
      <c r="O194"/>
      <c r="P194"/>
      <c r="Q194"/>
      <c r="R194"/>
    </row>
    <row r="195" spans="2:18">
      <c r="B195" s="36"/>
      <c r="C195" s="36"/>
      <c r="D195"/>
      <c r="E195"/>
      <c r="F195"/>
      <c r="G195"/>
      <c r="H195" s="147"/>
      <c r="I195"/>
      <c r="J195"/>
      <c r="K195"/>
      <c r="L195"/>
      <c r="M195"/>
      <c r="N195"/>
      <c r="O195"/>
      <c r="P195"/>
      <c r="Q195"/>
      <c r="R195"/>
    </row>
    <row r="196" spans="2:18">
      <c r="B196" s="36"/>
      <c r="C196" s="36"/>
      <c r="D196"/>
      <c r="E196"/>
      <c r="F196"/>
      <c r="G196"/>
      <c r="H196" s="147"/>
      <c r="I196"/>
      <c r="J196"/>
      <c r="K196"/>
      <c r="L196"/>
      <c r="M196"/>
      <c r="N196"/>
      <c r="O196"/>
      <c r="P196"/>
      <c r="Q196"/>
      <c r="R196"/>
    </row>
    <row r="197" spans="2:18">
      <c r="B197" s="36"/>
      <c r="C197" s="36"/>
      <c r="D197"/>
      <c r="E197"/>
      <c r="F197"/>
      <c r="G197"/>
      <c r="H197" s="147"/>
      <c r="I197"/>
      <c r="J197"/>
      <c r="K197"/>
      <c r="L197"/>
      <c r="M197"/>
      <c r="N197"/>
      <c r="O197"/>
      <c r="P197"/>
      <c r="Q197"/>
      <c r="R197"/>
    </row>
    <row r="198" spans="2:18">
      <c r="B198" s="36"/>
      <c r="C198" s="36"/>
      <c r="D198"/>
      <c r="E198"/>
      <c r="F198"/>
      <c r="G198"/>
      <c r="H198" s="147"/>
      <c r="I198"/>
      <c r="J198"/>
      <c r="K198"/>
      <c r="L198"/>
      <c r="M198"/>
      <c r="N198"/>
      <c r="O198"/>
      <c r="P198"/>
      <c r="Q198"/>
      <c r="R198"/>
    </row>
    <row r="199" spans="2:18">
      <c r="B199" s="36"/>
      <c r="C199" s="36"/>
      <c r="D199"/>
      <c r="E199"/>
      <c r="F199"/>
      <c r="G199"/>
      <c r="H199" s="147"/>
      <c r="I199"/>
      <c r="J199"/>
      <c r="K199"/>
      <c r="L199"/>
      <c r="M199"/>
      <c r="N199"/>
      <c r="O199"/>
      <c r="P199"/>
      <c r="Q199"/>
      <c r="R199"/>
    </row>
    <row r="200" spans="2:18">
      <c r="B200" s="36"/>
      <c r="C200" s="36"/>
      <c r="D200"/>
      <c r="E200"/>
      <c r="F200"/>
      <c r="G200"/>
      <c r="H200" s="147"/>
      <c r="I200"/>
      <c r="J200"/>
      <c r="K200"/>
      <c r="L200"/>
      <c r="M200"/>
      <c r="N200"/>
      <c r="O200"/>
      <c r="P200"/>
      <c r="Q200"/>
      <c r="R200"/>
    </row>
    <row r="201" spans="2:18">
      <c r="B201" s="36"/>
      <c r="C201" s="36"/>
      <c r="D201"/>
      <c r="E201"/>
      <c r="F201"/>
      <c r="G201"/>
      <c r="H201" s="147"/>
      <c r="I201"/>
      <c r="J201"/>
      <c r="K201"/>
      <c r="L201"/>
      <c r="M201"/>
      <c r="N201"/>
      <c r="O201"/>
      <c r="P201"/>
      <c r="Q201"/>
      <c r="R201"/>
    </row>
    <row r="202" spans="2:18">
      <c r="B202" s="36"/>
      <c r="C202" s="36"/>
      <c r="D202"/>
      <c r="E202"/>
      <c r="F202"/>
      <c r="G202"/>
      <c r="H202" s="147"/>
      <c r="I202"/>
      <c r="J202"/>
      <c r="K202"/>
      <c r="L202"/>
      <c r="M202"/>
      <c r="N202"/>
      <c r="O202"/>
      <c r="P202"/>
      <c r="Q202"/>
      <c r="R202"/>
    </row>
    <row r="203" spans="2:18">
      <c r="B203" s="36"/>
      <c r="C203" s="36"/>
      <c r="D203"/>
      <c r="E203"/>
      <c r="F203"/>
      <c r="G203"/>
      <c r="H203" s="147"/>
      <c r="I203"/>
      <c r="J203"/>
      <c r="K203"/>
      <c r="L203"/>
      <c r="M203"/>
      <c r="N203"/>
      <c r="O203"/>
      <c r="P203"/>
      <c r="Q203"/>
      <c r="R203"/>
    </row>
    <row r="204" spans="2:18">
      <c r="B204" s="36"/>
      <c r="C204" s="36"/>
      <c r="D204"/>
      <c r="E204"/>
      <c r="F204"/>
      <c r="G204"/>
      <c r="H204" s="147"/>
      <c r="I204"/>
      <c r="J204"/>
      <c r="K204"/>
      <c r="L204"/>
      <c r="M204"/>
      <c r="N204"/>
      <c r="O204"/>
      <c r="P204"/>
      <c r="Q204"/>
      <c r="R204"/>
    </row>
    <row r="205" spans="2:18">
      <c r="B205" s="36"/>
      <c r="C205" s="36"/>
      <c r="D205"/>
      <c r="E205"/>
      <c r="F205"/>
      <c r="G205"/>
      <c r="H205" s="147"/>
      <c r="I205"/>
      <c r="J205"/>
      <c r="K205"/>
      <c r="L205"/>
      <c r="M205"/>
      <c r="N205"/>
      <c r="O205"/>
      <c r="P205"/>
      <c r="Q205"/>
      <c r="R205"/>
    </row>
    <row r="206" spans="2:18">
      <c r="B206" s="36"/>
      <c r="C206" s="36"/>
      <c r="D206"/>
      <c r="E206"/>
      <c r="F206"/>
      <c r="G206"/>
      <c r="H206" s="147"/>
      <c r="I206"/>
      <c r="J206"/>
      <c r="K206"/>
      <c r="L206"/>
      <c r="M206"/>
      <c r="N206"/>
      <c r="O206"/>
      <c r="P206"/>
      <c r="Q206"/>
      <c r="R206"/>
    </row>
    <row r="207" spans="2:18">
      <c r="B207" s="36"/>
      <c r="C207" s="36"/>
      <c r="D207"/>
      <c r="E207"/>
      <c r="F207"/>
      <c r="G207"/>
      <c r="H207" s="147"/>
      <c r="I207"/>
      <c r="J207"/>
      <c r="K207"/>
      <c r="L207"/>
      <c r="M207"/>
      <c r="N207"/>
      <c r="O207"/>
      <c r="P207"/>
      <c r="Q207"/>
      <c r="R207"/>
    </row>
    <row r="208" spans="2:18">
      <c r="B208" s="36"/>
      <c r="C208" s="36"/>
      <c r="D208"/>
      <c r="E208"/>
      <c r="F208"/>
      <c r="G208"/>
      <c r="H208" s="147"/>
      <c r="I208"/>
      <c r="J208"/>
      <c r="K208"/>
      <c r="L208"/>
      <c r="M208"/>
      <c r="N208"/>
      <c r="O208"/>
      <c r="P208"/>
      <c r="Q208"/>
      <c r="R208"/>
    </row>
    <row r="209" spans="2:18">
      <c r="B209" s="36"/>
      <c r="C209" s="36"/>
      <c r="D209"/>
      <c r="E209"/>
      <c r="F209"/>
      <c r="G209"/>
      <c r="H209" s="147"/>
      <c r="I209"/>
      <c r="J209"/>
      <c r="K209"/>
      <c r="L209"/>
      <c r="M209"/>
      <c r="N209"/>
      <c r="O209"/>
      <c r="P209"/>
      <c r="Q209"/>
      <c r="R209"/>
    </row>
    <row r="210" spans="2:18">
      <c r="B210" s="36"/>
      <c r="C210" s="36"/>
      <c r="D210"/>
      <c r="E210"/>
      <c r="F210"/>
      <c r="G210"/>
      <c r="H210" s="147"/>
      <c r="I210"/>
      <c r="J210"/>
      <c r="K210"/>
      <c r="L210"/>
      <c r="M210"/>
      <c r="N210"/>
      <c r="O210"/>
      <c r="P210"/>
      <c r="Q210"/>
      <c r="R210"/>
    </row>
    <row r="211" spans="2:18">
      <c r="B211" s="36"/>
      <c r="C211" s="36"/>
      <c r="D211"/>
      <c r="E211"/>
      <c r="F211"/>
      <c r="G211"/>
      <c r="H211" s="147"/>
      <c r="I211"/>
      <c r="J211"/>
      <c r="K211"/>
      <c r="L211"/>
      <c r="M211"/>
      <c r="N211"/>
      <c r="O211"/>
      <c r="P211"/>
      <c r="Q211"/>
      <c r="R211"/>
    </row>
    <row r="212" spans="2:18">
      <c r="B212" s="36"/>
      <c r="C212" s="36"/>
      <c r="D212"/>
      <c r="E212"/>
      <c r="F212"/>
      <c r="G212"/>
      <c r="H212" s="147"/>
      <c r="I212"/>
      <c r="J212"/>
      <c r="K212"/>
      <c r="L212"/>
      <c r="M212"/>
      <c r="N212"/>
      <c r="O212"/>
      <c r="P212"/>
      <c r="Q212"/>
      <c r="R212"/>
    </row>
    <row r="213" spans="2:18">
      <c r="B213" s="36"/>
      <c r="C213" s="36"/>
      <c r="D213"/>
      <c r="E213"/>
      <c r="F213"/>
      <c r="G213"/>
      <c r="H213" s="147"/>
      <c r="I213"/>
      <c r="J213"/>
      <c r="K213"/>
      <c r="L213"/>
      <c r="M213"/>
      <c r="N213"/>
      <c r="O213"/>
      <c r="P213"/>
      <c r="Q213"/>
      <c r="R213"/>
    </row>
    <row r="214" spans="2:18">
      <c r="B214" s="36"/>
      <c r="C214" s="36"/>
      <c r="D214"/>
      <c r="E214"/>
      <c r="F214"/>
      <c r="G214"/>
      <c r="H214" s="147"/>
      <c r="I214"/>
      <c r="J214"/>
      <c r="K214"/>
      <c r="L214"/>
      <c r="M214"/>
      <c r="N214"/>
      <c r="O214"/>
      <c r="P214"/>
      <c r="Q214"/>
      <c r="R214"/>
    </row>
    <row r="215" spans="2:18">
      <c r="B215" s="36"/>
      <c r="C215" s="36"/>
      <c r="D215"/>
      <c r="E215"/>
      <c r="F215"/>
      <c r="G215"/>
      <c r="H215" s="147"/>
      <c r="I215"/>
      <c r="J215"/>
      <c r="K215"/>
      <c r="L215"/>
      <c r="M215"/>
      <c r="N215"/>
      <c r="O215"/>
      <c r="P215"/>
      <c r="Q215"/>
      <c r="R215"/>
    </row>
    <row r="216" spans="2:18">
      <c r="B216" s="36"/>
      <c r="C216" s="36"/>
      <c r="D216"/>
      <c r="E216"/>
      <c r="F216"/>
      <c r="G216"/>
      <c r="H216" s="147"/>
      <c r="I216"/>
      <c r="J216"/>
      <c r="K216"/>
      <c r="L216"/>
      <c r="M216"/>
      <c r="N216"/>
      <c r="O216"/>
      <c r="P216"/>
      <c r="Q216"/>
      <c r="R216"/>
    </row>
    <row r="217" spans="2:18">
      <c r="B217" s="36"/>
      <c r="C217" s="36"/>
      <c r="D217"/>
      <c r="E217"/>
      <c r="F217"/>
      <c r="G217"/>
      <c r="H217" s="147"/>
      <c r="I217"/>
      <c r="J217"/>
      <c r="K217"/>
      <c r="L217"/>
      <c r="M217"/>
      <c r="N217"/>
      <c r="O217"/>
      <c r="P217"/>
      <c r="Q217"/>
      <c r="R217"/>
    </row>
    <row r="218" spans="2:18">
      <c r="B218" s="36"/>
      <c r="C218" s="36"/>
      <c r="D218"/>
      <c r="E218"/>
      <c r="F218"/>
      <c r="G218"/>
      <c r="H218" s="147"/>
      <c r="I218"/>
      <c r="J218"/>
      <c r="K218"/>
      <c r="L218"/>
      <c r="M218"/>
      <c r="N218"/>
      <c r="O218"/>
      <c r="P218"/>
      <c r="Q218"/>
      <c r="R218"/>
    </row>
    <row r="219" spans="2:18">
      <c r="B219" s="36"/>
      <c r="C219" s="36"/>
      <c r="D219"/>
      <c r="E219"/>
      <c r="F219"/>
      <c r="G219"/>
      <c r="H219" s="147"/>
      <c r="I219"/>
      <c r="J219"/>
      <c r="K219"/>
      <c r="L219"/>
      <c r="M219"/>
      <c r="N219"/>
      <c r="O219"/>
      <c r="P219"/>
      <c r="Q219"/>
      <c r="R219"/>
    </row>
    <row r="220" spans="2:18">
      <c r="B220" s="36"/>
      <c r="C220" s="36"/>
      <c r="D220"/>
      <c r="E220"/>
      <c r="F220"/>
      <c r="G220"/>
      <c r="H220" s="147"/>
      <c r="I220"/>
      <c r="J220"/>
      <c r="K220"/>
      <c r="L220"/>
      <c r="M220"/>
      <c r="N220"/>
      <c r="O220"/>
      <c r="P220"/>
      <c r="Q220"/>
      <c r="R220"/>
    </row>
    <row r="221" spans="2:18">
      <c r="B221" s="36"/>
      <c r="C221" s="36"/>
      <c r="D221"/>
      <c r="E221"/>
      <c r="F221"/>
      <c r="G221"/>
      <c r="H221" s="147"/>
      <c r="I221"/>
      <c r="J221"/>
      <c r="K221"/>
      <c r="L221"/>
      <c r="M221"/>
      <c r="N221"/>
      <c r="O221"/>
      <c r="P221"/>
      <c r="Q221"/>
      <c r="R221"/>
    </row>
    <row r="222" spans="2:18">
      <c r="B222" s="36"/>
      <c r="C222" s="36"/>
      <c r="D222"/>
      <c r="E222"/>
      <c r="F222"/>
      <c r="G222"/>
      <c r="H222" s="147"/>
      <c r="I222"/>
      <c r="J222"/>
      <c r="K222"/>
      <c r="L222"/>
      <c r="M222"/>
      <c r="N222"/>
      <c r="O222"/>
      <c r="P222"/>
      <c r="Q222"/>
      <c r="R222"/>
    </row>
    <row r="223" spans="2:18">
      <c r="B223" s="36"/>
      <c r="C223" s="36"/>
      <c r="D223"/>
      <c r="E223"/>
      <c r="F223"/>
      <c r="G223"/>
      <c r="H223" s="147"/>
      <c r="I223"/>
      <c r="J223"/>
      <c r="K223"/>
      <c r="L223"/>
      <c r="M223"/>
      <c r="N223"/>
      <c r="O223"/>
      <c r="P223"/>
      <c r="Q223"/>
      <c r="R223"/>
    </row>
    <row r="224" spans="2:18">
      <c r="B224" s="36"/>
      <c r="C224" s="36"/>
      <c r="D224"/>
      <c r="E224"/>
      <c r="F224"/>
      <c r="G224"/>
      <c r="H224" s="147"/>
      <c r="I224"/>
      <c r="J224"/>
      <c r="K224"/>
      <c r="L224"/>
      <c r="M224"/>
      <c r="N224"/>
      <c r="O224"/>
      <c r="P224"/>
      <c r="Q224"/>
      <c r="R224"/>
    </row>
    <row r="225" spans="2:18">
      <c r="B225" s="36"/>
      <c r="C225" s="36"/>
      <c r="D225"/>
      <c r="E225"/>
      <c r="F225"/>
      <c r="G225"/>
      <c r="H225" s="147"/>
      <c r="I225"/>
      <c r="J225"/>
      <c r="K225"/>
      <c r="L225"/>
      <c r="M225"/>
      <c r="N225"/>
      <c r="O225"/>
      <c r="P225"/>
      <c r="Q225"/>
      <c r="R225"/>
    </row>
    <row r="226" spans="2:18">
      <c r="B226" s="36"/>
      <c r="C226" s="36"/>
      <c r="D226"/>
      <c r="E226"/>
      <c r="F226"/>
      <c r="G226"/>
      <c r="H226" s="147"/>
      <c r="I226"/>
      <c r="J226"/>
      <c r="K226"/>
      <c r="L226"/>
      <c r="M226"/>
      <c r="N226"/>
      <c r="O226"/>
      <c r="P226"/>
      <c r="Q226"/>
      <c r="R226"/>
    </row>
    <row r="227" spans="2:18">
      <c r="B227" s="36"/>
      <c r="C227" s="36"/>
      <c r="D227"/>
      <c r="E227"/>
      <c r="F227"/>
      <c r="G227"/>
      <c r="H227" s="147"/>
      <c r="I227"/>
      <c r="J227"/>
      <c r="K227"/>
      <c r="L227"/>
      <c r="M227"/>
      <c r="N227"/>
      <c r="O227"/>
      <c r="P227"/>
      <c r="Q227"/>
      <c r="R227"/>
    </row>
    <row r="228" spans="2:18">
      <c r="B228" s="36"/>
      <c r="C228" s="36"/>
      <c r="D228"/>
      <c r="E228"/>
      <c r="F228"/>
      <c r="G228"/>
      <c r="H228" s="147"/>
      <c r="I228"/>
      <c r="J228"/>
      <c r="K228"/>
      <c r="L228"/>
      <c r="M228"/>
      <c r="N228"/>
      <c r="O228"/>
      <c r="P228"/>
      <c r="Q228"/>
      <c r="R228"/>
    </row>
    <row r="229" spans="2:18">
      <c r="B229" s="36"/>
      <c r="C229" s="36"/>
      <c r="D229"/>
      <c r="E229"/>
      <c r="F229"/>
      <c r="G229"/>
      <c r="H229" s="147"/>
      <c r="I229"/>
      <c r="J229"/>
      <c r="K229"/>
      <c r="L229"/>
      <c r="M229"/>
      <c r="N229"/>
      <c r="O229"/>
      <c r="P229"/>
      <c r="Q229"/>
      <c r="R229"/>
    </row>
    <row r="230" spans="2:18">
      <c r="B230" s="36"/>
      <c r="C230" s="36"/>
      <c r="D230"/>
      <c r="E230"/>
      <c r="F230"/>
      <c r="G230"/>
      <c r="H230" s="147"/>
      <c r="I230"/>
      <c r="J230"/>
      <c r="K230"/>
      <c r="L230"/>
      <c r="M230"/>
      <c r="N230"/>
      <c r="O230"/>
      <c r="P230"/>
      <c r="Q230"/>
      <c r="R230"/>
    </row>
    <row r="231" spans="2:18">
      <c r="B231" s="36"/>
      <c r="C231" s="36"/>
      <c r="D231"/>
      <c r="E231"/>
      <c r="F231"/>
      <c r="G231"/>
      <c r="H231" s="147"/>
      <c r="I231"/>
      <c r="J231"/>
      <c r="K231"/>
      <c r="L231"/>
      <c r="M231"/>
      <c r="N231"/>
      <c r="O231"/>
      <c r="P231"/>
      <c r="Q231"/>
      <c r="R231"/>
    </row>
    <row r="232" spans="2:18">
      <c r="B232" s="36"/>
      <c r="C232" s="36"/>
      <c r="D232"/>
      <c r="E232"/>
      <c r="F232"/>
      <c r="G232"/>
      <c r="H232" s="147"/>
      <c r="I232"/>
      <c r="J232"/>
      <c r="K232"/>
      <c r="L232"/>
      <c r="M232"/>
      <c r="N232"/>
      <c r="O232"/>
      <c r="P232"/>
      <c r="Q232"/>
      <c r="R232"/>
    </row>
    <row r="233" spans="2:18">
      <c r="B233" s="36"/>
      <c r="C233" s="36"/>
      <c r="D233"/>
      <c r="E233"/>
      <c r="F233"/>
      <c r="G233"/>
      <c r="H233" s="147"/>
      <c r="I233"/>
      <c r="J233"/>
      <c r="K233"/>
      <c r="L233"/>
      <c r="M233"/>
      <c r="N233"/>
      <c r="O233"/>
      <c r="P233"/>
      <c r="Q233"/>
      <c r="R233"/>
    </row>
    <row r="234" spans="2:18">
      <c r="B234" s="36"/>
      <c r="C234" s="36"/>
      <c r="D234"/>
      <c r="E234"/>
      <c r="F234"/>
      <c r="G234"/>
      <c r="H234" s="147"/>
      <c r="I234"/>
      <c r="J234"/>
      <c r="K234"/>
      <c r="L234"/>
      <c r="M234"/>
      <c r="N234"/>
      <c r="O234"/>
      <c r="P234"/>
      <c r="Q234"/>
      <c r="R234"/>
    </row>
    <row r="235" spans="2:18">
      <c r="B235" s="36"/>
      <c r="C235" s="36"/>
      <c r="D235"/>
      <c r="E235"/>
      <c r="F235"/>
      <c r="G235"/>
      <c r="H235" s="147"/>
      <c r="I235"/>
      <c r="J235"/>
      <c r="K235"/>
      <c r="L235"/>
      <c r="M235"/>
      <c r="N235"/>
      <c r="O235"/>
      <c r="P235"/>
      <c r="Q235"/>
      <c r="R235"/>
    </row>
    <row r="236" spans="2:18">
      <c r="B236" s="36"/>
      <c r="C236" s="36"/>
      <c r="D236"/>
      <c r="E236"/>
      <c r="F236"/>
      <c r="G236"/>
      <c r="H236" s="147"/>
      <c r="I236"/>
      <c r="J236"/>
      <c r="K236"/>
      <c r="L236"/>
      <c r="M236"/>
      <c r="N236"/>
      <c r="O236"/>
      <c r="P236"/>
      <c r="Q236"/>
      <c r="R236"/>
    </row>
    <row r="237" spans="2:18">
      <c r="B237" s="36"/>
      <c r="C237" s="36"/>
      <c r="D237"/>
      <c r="E237"/>
      <c r="F237"/>
      <c r="G237"/>
      <c r="H237" s="147"/>
      <c r="I237"/>
      <c r="J237"/>
      <c r="K237"/>
      <c r="L237"/>
      <c r="M237"/>
      <c r="N237"/>
      <c r="O237"/>
      <c r="P237"/>
      <c r="Q237"/>
      <c r="R237"/>
    </row>
    <row r="238" spans="2:18">
      <c r="B238" s="36"/>
      <c r="C238" s="36"/>
      <c r="D238"/>
      <c r="E238"/>
      <c r="F238"/>
      <c r="G238"/>
      <c r="H238" s="147"/>
      <c r="I238"/>
      <c r="J238"/>
      <c r="K238"/>
      <c r="L238"/>
      <c r="M238"/>
      <c r="N238"/>
      <c r="O238"/>
      <c r="P238"/>
      <c r="Q238"/>
      <c r="R238"/>
    </row>
    <row r="239" spans="2:18">
      <c r="B239" s="36"/>
      <c r="C239" s="36"/>
      <c r="D239"/>
      <c r="E239"/>
      <c r="F239"/>
      <c r="G239"/>
      <c r="H239" s="147"/>
      <c r="I239"/>
      <c r="J239"/>
      <c r="K239"/>
      <c r="L239"/>
      <c r="M239"/>
      <c r="N239"/>
      <c r="O239"/>
      <c r="P239"/>
      <c r="Q239"/>
      <c r="R239"/>
    </row>
    <row r="240" spans="2:18">
      <c r="B240" s="36"/>
      <c r="C240" s="36"/>
      <c r="D240"/>
      <c r="E240"/>
      <c r="F240"/>
      <c r="G240"/>
      <c r="H240" s="147"/>
      <c r="I240"/>
      <c r="J240"/>
      <c r="K240"/>
      <c r="L240"/>
      <c r="M240"/>
      <c r="N240"/>
      <c r="O240"/>
      <c r="P240"/>
      <c r="Q240"/>
      <c r="R240"/>
    </row>
    <row r="241" spans="2:18">
      <c r="B241" s="36"/>
      <c r="C241" s="36"/>
      <c r="D241"/>
      <c r="E241"/>
      <c r="F241"/>
      <c r="G241"/>
      <c r="H241" s="147"/>
      <c r="I241"/>
      <c r="J241"/>
      <c r="K241"/>
      <c r="L241"/>
      <c r="M241"/>
      <c r="N241"/>
      <c r="O241"/>
      <c r="P241"/>
      <c r="Q241"/>
      <c r="R241"/>
    </row>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918A-6A41-47E6-8DC8-69097E2C21C6}">
  <sheetPr>
    <pageSetUpPr fitToPage="1"/>
  </sheetPr>
  <dimension ref="A1:R90"/>
  <sheetViews>
    <sheetView tabSelected="1" topLeftCell="A82" workbookViewId="0">
      <selection activeCell="F89" sqref="F89"/>
    </sheetView>
  </sheetViews>
  <sheetFormatPr defaultColWidth="9.28515625" defaultRowHeight="15" customHeight="1" outlineLevelRow="1"/>
  <cols>
    <col min="1" max="1" width="9.28515625" style="24"/>
    <col min="2" max="2" width="9.7109375" style="1" customWidth="1"/>
    <col min="3" max="3" width="26.5703125" style="2" customWidth="1"/>
    <col min="4" max="5" width="12.5703125" style="1" customWidth="1"/>
    <col min="6" max="6" width="77.28515625" style="1" customWidth="1"/>
    <col min="7" max="7" width="9.28515625" style="1" customWidth="1"/>
    <col min="8" max="8" width="10.42578125" style="1" customWidth="1"/>
    <col min="9" max="9" width="12" style="1" customWidth="1"/>
    <col min="10" max="10" width="16.28515625" style="1" customWidth="1"/>
    <col min="11" max="12" width="9.28515625" style="1"/>
    <col min="13" max="13" width="14.42578125" style="1" customWidth="1"/>
    <col min="14" max="14" width="35" style="1" customWidth="1"/>
    <col min="15" max="15" width="22" style="1" customWidth="1"/>
    <col min="16" max="16384" width="9.28515625" style="1"/>
  </cols>
  <sheetData>
    <row r="1" spans="1:18" ht="21">
      <c r="A1" s="159" t="e" vm="1">
        <v>#VALUE!</v>
      </c>
      <c r="B1" s="171"/>
      <c r="C1" s="193"/>
      <c r="D1" s="171"/>
      <c r="E1" s="257" t="s">
        <v>558</v>
      </c>
      <c r="F1" s="257"/>
      <c r="G1" s="257"/>
      <c r="H1" s="257"/>
      <c r="I1" s="257"/>
      <c r="J1" s="257"/>
      <c r="K1" s="257"/>
      <c r="L1" s="257"/>
      <c r="M1" s="257"/>
      <c r="N1" s="257"/>
      <c r="O1" s="257"/>
      <c r="P1" s="158"/>
      <c r="Q1" s="158"/>
      <c r="R1"/>
    </row>
    <row r="2" spans="1:18" ht="14.25">
      <c r="A2" s="160" t="s">
        <v>559</v>
      </c>
      <c r="B2"/>
      <c r="C2" s="36"/>
      <c r="D2"/>
      <c r="E2"/>
      <c r="F2"/>
      <c r="G2"/>
      <c r="H2"/>
      <c r="I2"/>
      <c r="J2"/>
      <c r="K2"/>
      <c r="L2"/>
      <c r="M2"/>
      <c r="P2"/>
      <c r="Q2"/>
      <c r="R2"/>
    </row>
    <row r="3" spans="1:18" ht="14.25">
      <c r="A3" s="160" t="s">
        <v>560</v>
      </c>
      <c r="B3"/>
      <c r="C3" s="36"/>
      <c r="D3"/>
      <c r="E3"/>
      <c r="F3"/>
      <c r="G3"/>
      <c r="H3"/>
      <c r="I3"/>
      <c r="J3"/>
      <c r="K3"/>
      <c r="L3"/>
      <c r="M3"/>
      <c r="P3"/>
      <c r="Q3"/>
      <c r="R3"/>
    </row>
    <row r="4" spans="1:18" ht="15" customHeight="1">
      <c r="A4" s="160" t="s">
        <v>561</v>
      </c>
      <c r="B4" s="160"/>
      <c r="C4" s="194"/>
      <c r="D4" s="160"/>
      <c r="E4" s="160"/>
      <c r="F4" s="160"/>
      <c r="G4" s="160"/>
      <c r="H4" s="160"/>
      <c r="I4" s="160"/>
      <c r="J4" s="160"/>
      <c r="K4" s="160"/>
      <c r="L4" s="160"/>
      <c r="M4" s="160"/>
      <c r="P4"/>
      <c r="Q4"/>
      <c r="R4"/>
    </row>
    <row r="5" spans="1:18" ht="14.25">
      <c r="A5" s="160" t="s">
        <v>562</v>
      </c>
      <c r="B5"/>
      <c r="C5" s="36"/>
      <c r="D5"/>
      <c r="E5"/>
      <c r="F5"/>
      <c r="G5"/>
      <c r="H5"/>
      <c r="I5"/>
      <c r="J5"/>
      <c r="K5"/>
      <c r="L5"/>
      <c r="M5"/>
      <c r="P5"/>
      <c r="Q5"/>
      <c r="R5"/>
    </row>
    <row r="6" spans="1:18" s="2" customFormat="1" ht="69" customHeight="1">
      <c r="A6" s="162" t="s">
        <v>563</v>
      </c>
      <c r="B6" s="163" t="s">
        <v>564</v>
      </c>
      <c r="C6" s="163" t="s">
        <v>565</v>
      </c>
      <c r="D6" s="163" t="s">
        <v>566</v>
      </c>
      <c r="E6" s="163" t="s">
        <v>567</v>
      </c>
      <c r="F6" s="175" t="s">
        <v>568</v>
      </c>
      <c r="G6" s="175" t="s">
        <v>569</v>
      </c>
      <c r="H6" s="163" t="s">
        <v>570</v>
      </c>
      <c r="I6" s="163" t="s">
        <v>571</v>
      </c>
      <c r="J6" s="175" t="s">
        <v>572</v>
      </c>
      <c r="K6" s="163" t="s">
        <v>573</v>
      </c>
      <c r="L6" s="163" t="s">
        <v>209</v>
      </c>
      <c r="M6" s="163" t="s">
        <v>574</v>
      </c>
      <c r="N6" s="175" t="s">
        <v>575</v>
      </c>
      <c r="O6" s="163" t="s">
        <v>576</v>
      </c>
    </row>
    <row r="7" spans="1:18" s="2" customFormat="1" ht="24.6" customHeight="1">
      <c r="A7" s="244"/>
      <c r="B7" s="245"/>
      <c r="C7" s="245"/>
      <c r="D7" s="245"/>
      <c r="E7" s="245"/>
      <c r="F7" s="246" t="s">
        <v>577</v>
      </c>
      <c r="G7" s="246"/>
      <c r="H7" s="245"/>
      <c r="I7" s="245"/>
      <c r="J7" s="246"/>
      <c r="K7" s="245"/>
      <c r="L7" s="245"/>
      <c r="M7" s="245"/>
      <c r="N7" s="246"/>
      <c r="O7" s="245"/>
    </row>
    <row r="8" spans="1:18" s="2" customFormat="1" ht="93.75" hidden="1" customHeight="1" outlineLevel="1">
      <c r="A8" s="167">
        <v>1</v>
      </c>
      <c r="B8" s="164" t="str">
        <f>'Implementation Plan V2 Sep25'!E4</f>
        <v>1.1.1</v>
      </c>
      <c r="C8" s="164" t="str">
        <f>'Implementation Plan V2 Sep25'!F4</f>
        <v>Establish the PMU, Operational Processes and WRP pooled fund</v>
      </c>
      <c r="D8" s="168">
        <f>'Implementation Plan V2 Sep25'!N4</f>
        <v>356.02608695652174</v>
      </c>
      <c r="E8" s="168" t="s">
        <v>578</v>
      </c>
      <c r="F8" s="165" t="s">
        <v>579</v>
      </c>
      <c r="G8" s="165" t="s">
        <v>580</v>
      </c>
      <c r="H8" s="164" t="s">
        <v>581</v>
      </c>
      <c r="I8" s="164"/>
      <c r="J8" s="164"/>
      <c r="K8" s="164"/>
      <c r="L8" s="164"/>
      <c r="M8" s="164" t="s">
        <v>582</v>
      </c>
      <c r="N8" s="164"/>
      <c r="O8" s="164"/>
    </row>
    <row r="9" spans="1:18" s="2" customFormat="1" ht="81" hidden="1" customHeight="1" outlineLevel="1">
      <c r="A9" s="167">
        <v>2</v>
      </c>
      <c r="B9" s="164" t="str">
        <f>'Implementation Plan V2 Sep25'!E5</f>
        <v>1.1.2</v>
      </c>
      <c r="C9" s="164" t="str">
        <f>'Implementation Plan V2 Sep25'!F5</f>
        <v>Operational Phase of PMU and coordination activities</v>
      </c>
      <c r="D9" s="168">
        <f>'Implementation Plan V2 Sep25'!N5</f>
        <v>2621.8450072463766</v>
      </c>
      <c r="E9" s="168">
        <f>((192758+100000)/1.15+(252656+459914+738522)*0.62)/1000</f>
        <v>1154.2492139130436</v>
      </c>
      <c r="F9" s="165" t="s">
        <v>583</v>
      </c>
      <c r="G9" s="165" t="s">
        <v>580</v>
      </c>
      <c r="H9" s="164" t="s">
        <v>581</v>
      </c>
      <c r="I9" s="164"/>
      <c r="J9" s="164"/>
      <c r="K9" s="164"/>
      <c r="L9" s="164"/>
      <c r="M9" s="164" t="s">
        <v>582</v>
      </c>
      <c r="N9" s="164"/>
      <c r="O9" s="164"/>
    </row>
    <row r="10" spans="1:18" s="2" customFormat="1" ht="28.5" hidden="1" outlineLevel="1">
      <c r="A10" s="167">
        <v>3</v>
      </c>
      <c r="B10" s="164" t="str">
        <f>'Implementation Plan V2 Sep25'!E6</f>
        <v>1.1.3</v>
      </c>
      <c r="C10" s="164" t="str">
        <f>'Implementation Plan V2 Sep25'!F6</f>
        <v>MERL framework establishment and operationalisation</v>
      </c>
      <c r="D10" s="168">
        <f>'Implementation Plan V2 Sep25'!N6</f>
        <v>132.94800000000001</v>
      </c>
      <c r="E10" s="168">
        <f>31090/1.15/1000</f>
        <v>27.034782608695657</v>
      </c>
      <c r="F10" s="164" t="s">
        <v>584</v>
      </c>
      <c r="G10" s="165" t="s">
        <v>580</v>
      </c>
      <c r="H10" s="164" t="s">
        <v>581</v>
      </c>
      <c r="I10" s="164"/>
      <c r="J10" s="164"/>
      <c r="K10" s="164"/>
      <c r="L10" s="164"/>
      <c r="M10" s="164" t="s">
        <v>582</v>
      </c>
      <c r="N10" s="164"/>
      <c r="O10" s="164"/>
    </row>
    <row r="11" spans="1:18" s="2" customFormat="1" ht="49.5" hidden="1" customHeight="1" outlineLevel="1">
      <c r="A11" s="167">
        <v>4</v>
      </c>
      <c r="B11" s="164" t="str">
        <f>'Implementation Plan V2 Sep25'!E7</f>
        <v>1.1.4</v>
      </c>
      <c r="C11" s="164" t="str">
        <f>'Implementation Plan V2 Sep25'!F7</f>
        <v>PMU Staff (Management and Delivery Support roles)</v>
      </c>
      <c r="D11" s="168">
        <f>'Implementation Plan V2 Sep25'!N7</f>
        <v>4725.1276166666676</v>
      </c>
      <c r="E11" s="168">
        <v>6576</v>
      </c>
      <c r="F11" s="164" t="s">
        <v>585</v>
      </c>
      <c r="G11" s="165" t="s">
        <v>580</v>
      </c>
      <c r="H11" s="164" t="s">
        <v>581</v>
      </c>
      <c r="I11" s="164"/>
      <c r="J11" s="164"/>
      <c r="K11" s="164"/>
      <c r="L11" s="164"/>
      <c r="M11" s="164" t="s">
        <v>582</v>
      </c>
      <c r="N11" s="164"/>
      <c r="O11" s="164"/>
    </row>
    <row r="12" spans="1:18" s="2" customFormat="1" ht="28.5" hidden="1" outlineLevel="1">
      <c r="A12" s="167">
        <v>5</v>
      </c>
      <c r="B12" s="164" t="str">
        <f>'Implementation Plan V2 Sep25'!E8</f>
        <v>1.1.5</v>
      </c>
      <c r="C12" s="164" t="str">
        <f>'Implementation Plan V2 Sep25'!F8</f>
        <v>NMHS Staff to expand capacity to support programme delivery</v>
      </c>
      <c r="D12" s="168">
        <f>'Implementation Plan V2 Sep25'!N8</f>
        <v>0</v>
      </c>
      <c r="E12" s="168"/>
      <c r="F12" s="164" t="s">
        <v>586</v>
      </c>
      <c r="G12" s="165" t="s">
        <v>580</v>
      </c>
      <c r="H12" s="164" t="s">
        <v>581</v>
      </c>
      <c r="I12" s="164"/>
      <c r="J12" s="164"/>
      <c r="K12" s="164"/>
      <c r="L12" s="164"/>
      <c r="M12" s="164" t="s">
        <v>582</v>
      </c>
      <c r="N12" s="164"/>
      <c r="O12" s="164"/>
    </row>
    <row r="13" spans="1:18" s="2" customFormat="1" ht="42.75" hidden="1" outlineLevel="1">
      <c r="A13" s="167">
        <v>6</v>
      </c>
      <c r="B13" s="164" t="str">
        <f>'Implementation Plan V2 Sep25'!E10</f>
        <v>1.2.1</v>
      </c>
      <c r="C13" s="164" t="str">
        <f>'Implementation Plan V2 Sep25'!F10</f>
        <v>Sustainable hydrometeorological financing investment facility</v>
      </c>
      <c r="D13" s="168">
        <f>'Implementation Plan V2 Sep25'!N10</f>
        <v>0</v>
      </c>
      <c r="E13" s="168"/>
      <c r="F13" s="164" t="s">
        <v>587</v>
      </c>
      <c r="G13" s="165" t="s">
        <v>580</v>
      </c>
      <c r="H13" s="164" t="s">
        <v>581</v>
      </c>
      <c r="I13" s="164"/>
      <c r="J13" s="164"/>
      <c r="K13" s="164"/>
      <c r="L13" s="164"/>
      <c r="M13" s="164" t="s">
        <v>582</v>
      </c>
      <c r="N13" s="164"/>
      <c r="O13" s="164"/>
    </row>
    <row r="14" spans="1:18" s="2" customFormat="1" ht="33" hidden="1" customHeight="1" outlineLevel="1">
      <c r="A14" s="167">
        <v>7</v>
      </c>
      <c r="B14" s="164" t="str">
        <f>'Implementation Plan V2 Sep25'!E12</f>
        <v>1.3.1</v>
      </c>
      <c r="C14" s="164" t="str">
        <f>'Implementation Plan V2 Sep25'!F12</f>
        <v>GEDSI and social safeguards mainstreamed into WRP</v>
      </c>
      <c r="D14" s="168">
        <f>'Implementation Plan V2 Sep25'!N12</f>
        <v>220.99742025</v>
      </c>
      <c r="E14" s="168" t="s">
        <v>578</v>
      </c>
      <c r="F14" s="164" t="s">
        <v>588</v>
      </c>
      <c r="G14" s="165" t="s">
        <v>580</v>
      </c>
      <c r="H14" s="164" t="s">
        <v>581</v>
      </c>
      <c r="I14" s="164"/>
      <c r="J14" s="164"/>
      <c r="K14" s="164"/>
      <c r="L14" s="164"/>
      <c r="M14" s="164" t="s">
        <v>582</v>
      </c>
      <c r="N14" s="164"/>
      <c r="O14" s="164"/>
    </row>
    <row r="15" spans="1:18" s="2" customFormat="1" ht="42.75" hidden="1" outlineLevel="1">
      <c r="A15" s="167">
        <v>8</v>
      </c>
      <c r="B15" s="164" t="str">
        <f>'Implementation Plan V2 Sep25'!E13</f>
        <v>1.3.2</v>
      </c>
      <c r="C15" s="164" t="str">
        <f>'Implementation Plan V2 Sep25'!F13</f>
        <v>Cultivating a diverse and GEDSI responsive hydrometeorological service and warning institutions</v>
      </c>
      <c r="D15" s="168">
        <f>'Implementation Plan V2 Sep25'!N13</f>
        <v>0</v>
      </c>
      <c r="E15" s="168"/>
      <c r="F15" s="164" t="s">
        <v>589</v>
      </c>
      <c r="G15" s="165" t="s">
        <v>580</v>
      </c>
      <c r="H15" s="164" t="s">
        <v>581</v>
      </c>
      <c r="I15" s="164"/>
      <c r="J15" s="164"/>
      <c r="K15" s="164"/>
      <c r="L15" s="164"/>
      <c r="M15" s="164" t="s">
        <v>582</v>
      </c>
      <c r="N15" s="164"/>
      <c r="O15" s="164"/>
    </row>
    <row r="16" spans="1:18" s="2" customFormat="1" ht="78.75" hidden="1" customHeight="1" outlineLevel="1">
      <c r="A16" s="167">
        <v>9</v>
      </c>
      <c r="B16" s="164" t="str">
        <f>'Implementation Plan V2 Sep25'!E16</f>
        <v>4.1.1</v>
      </c>
      <c r="C16" s="164" t="str">
        <f>'Implementation Plan V2 Sep25'!F16</f>
        <v>Develop an Integrated Forecasting Platform and strengthen RSMCs (incl WIS, CAP)</v>
      </c>
      <c r="D16" s="168">
        <f>'Implementation Plan V2 Sep25'!N16</f>
        <v>2557.1914617391303</v>
      </c>
      <c r="E16" s="168">
        <f>(400000*0.62+'Project Register'!AA5+'Project Register'!AA52)/1000</f>
        <v>330.19146173913043</v>
      </c>
      <c r="F16" s="166" t="s">
        <v>590</v>
      </c>
      <c r="G16" s="165" t="s">
        <v>580</v>
      </c>
      <c r="H16" s="164" t="s">
        <v>581</v>
      </c>
      <c r="I16" s="164"/>
      <c r="J16" s="164"/>
      <c r="K16" s="164"/>
      <c r="L16" s="164"/>
      <c r="M16" s="164" t="s">
        <v>582</v>
      </c>
      <c r="N16" s="164"/>
      <c r="O16" s="164"/>
    </row>
    <row r="17" spans="1:15" s="2" customFormat="1" ht="64.5" hidden="1" customHeight="1" outlineLevel="1">
      <c r="A17" s="167">
        <v>10</v>
      </c>
      <c r="B17" s="164" t="str">
        <f>'Implementation Plan V2 Sep25'!E18</f>
        <v>4.2.1</v>
      </c>
      <c r="C17" s="164" t="str">
        <f>'Implementation Plan V2 Sep25'!F18</f>
        <v>Strengthen aviation forecasting</v>
      </c>
      <c r="D17" s="168">
        <f>'Implementation Plan V2 Sep25'!N18</f>
        <v>30</v>
      </c>
      <c r="E17" s="168">
        <v>0</v>
      </c>
      <c r="F17" s="165" t="s">
        <v>591</v>
      </c>
      <c r="G17" s="165" t="s">
        <v>580</v>
      </c>
      <c r="H17" s="164" t="s">
        <v>581</v>
      </c>
      <c r="I17" s="164"/>
      <c r="J17" s="164"/>
      <c r="K17" s="164"/>
      <c r="L17" s="164"/>
      <c r="M17" s="164" t="s">
        <v>582</v>
      </c>
      <c r="N17" s="164"/>
      <c r="O17" s="164"/>
    </row>
    <row r="18" spans="1:15" s="2" customFormat="1" ht="63" hidden="1" customHeight="1" outlineLevel="1">
      <c r="A18" s="167">
        <v>11</v>
      </c>
      <c r="B18" s="164" t="str">
        <f>'Implementation Plan V2 Sep25'!E19</f>
        <v>4.2.2</v>
      </c>
      <c r="C18" s="164" t="str">
        <f>'Implementation Plan V2 Sep25'!F19</f>
        <v>Strengthen public forecasting</v>
      </c>
      <c r="D18" s="168">
        <f>'Implementation Plan V2 Sep25'!N19</f>
        <v>597.64700000000005</v>
      </c>
      <c r="E18" s="168" t="s">
        <v>578</v>
      </c>
      <c r="F18" s="164" t="s">
        <v>592</v>
      </c>
      <c r="G18" s="165" t="s">
        <v>580</v>
      </c>
      <c r="H18" s="164" t="s">
        <v>581</v>
      </c>
      <c r="I18" s="164"/>
      <c r="J18" s="164"/>
      <c r="K18" s="164"/>
      <c r="L18" s="164"/>
      <c r="M18" s="164" t="s">
        <v>582</v>
      </c>
      <c r="N18" s="164"/>
      <c r="O18" s="164"/>
    </row>
    <row r="19" spans="1:15" s="2" customFormat="1" ht="14.25" hidden="1" outlineLevel="1">
      <c r="A19" s="167">
        <v>12</v>
      </c>
      <c r="B19" s="164" t="str">
        <f>'Implementation Plan V2 Sep25'!E20</f>
        <v>4.2.3</v>
      </c>
      <c r="C19" s="164" t="str">
        <f>'Implementation Plan V2 Sep25'!F20</f>
        <v>Strengthen marine forecasting</v>
      </c>
      <c r="D19" s="168">
        <f>'Implementation Plan V2 Sep25'!N20</f>
        <v>0</v>
      </c>
      <c r="E19" s="168"/>
      <c r="F19" s="164" t="s">
        <v>593</v>
      </c>
      <c r="G19" s="165" t="s">
        <v>580</v>
      </c>
      <c r="H19" s="164" t="s">
        <v>581</v>
      </c>
      <c r="I19" s="164"/>
      <c r="J19" s="164"/>
      <c r="K19" s="164"/>
      <c r="L19" s="164"/>
      <c r="M19" s="164" t="s">
        <v>582</v>
      </c>
      <c r="N19" s="164"/>
      <c r="O19" s="164"/>
    </row>
    <row r="20" spans="1:15" s="2" customFormat="1" ht="50.25" hidden="1" customHeight="1" outlineLevel="1">
      <c r="A20" s="167">
        <v>13</v>
      </c>
      <c r="B20" s="164" t="str">
        <f>'Implementation Plan V2 Sep25'!E21</f>
        <v>4.2.4</v>
      </c>
      <c r="C20" s="164" t="str">
        <f>'Implementation Plan V2 Sep25'!F21</f>
        <v>Strengthen coastal inundation forecasting</v>
      </c>
      <c r="D20" s="168">
        <f>'Implementation Plan V2 Sep25'!N21</f>
        <v>1191.1865</v>
      </c>
      <c r="E20" s="168" t="s">
        <v>578</v>
      </c>
      <c r="F20" s="165" t="s">
        <v>594</v>
      </c>
      <c r="G20" s="165" t="s">
        <v>580</v>
      </c>
      <c r="H20" s="164" t="s">
        <v>581</v>
      </c>
      <c r="I20" s="164"/>
      <c r="J20" s="164"/>
      <c r="K20" s="164"/>
      <c r="L20" s="164"/>
      <c r="M20" s="164" t="s">
        <v>582</v>
      </c>
      <c r="N20" s="164"/>
      <c r="O20" s="164"/>
    </row>
    <row r="21" spans="1:15" s="2" customFormat="1" ht="28.5" hidden="1" outlineLevel="1">
      <c r="A21" s="167">
        <v>14</v>
      </c>
      <c r="B21" s="164" t="str">
        <f>'Implementation Plan V2 Sep25'!E22</f>
        <v>4.2.5</v>
      </c>
      <c r="C21" s="164" t="str">
        <f>'Implementation Plan V2 Sep25'!F22</f>
        <v>Strengthen hydrological services and riverine flood forecasting</v>
      </c>
      <c r="D21" s="168">
        <f>'Implementation Plan V2 Sep25'!N22</f>
        <v>92.973749999999995</v>
      </c>
      <c r="E21" s="168" t="s">
        <v>578</v>
      </c>
      <c r="F21" s="164" t="s">
        <v>595</v>
      </c>
      <c r="G21" s="165" t="s">
        <v>580</v>
      </c>
      <c r="H21" s="164" t="s">
        <v>581</v>
      </c>
      <c r="I21" s="164"/>
      <c r="J21" s="164"/>
      <c r="K21" s="164"/>
      <c r="L21" s="164"/>
      <c r="M21" s="164" t="s">
        <v>582</v>
      </c>
      <c r="N21" s="164"/>
      <c r="O21" s="164"/>
    </row>
    <row r="22" spans="1:15" s="2" customFormat="1" ht="65.25" hidden="1" customHeight="1" outlineLevel="1">
      <c r="A22" s="167">
        <v>15</v>
      </c>
      <c r="B22" s="164" t="str">
        <f>'Implementation Plan V2 Sep25'!E23</f>
        <v>4.2.6</v>
      </c>
      <c r="C22" s="164" t="str">
        <f>'Implementation Plan V2 Sep25'!F23</f>
        <v>Provide additional ICT and other technical staff to expand capacity</v>
      </c>
      <c r="D22" s="168">
        <f>'Implementation Plan V2 Sep25'!N23</f>
        <v>1066.93875</v>
      </c>
      <c r="E22" s="168">
        <f>200*0.62</f>
        <v>124</v>
      </c>
      <c r="F22" s="165" t="s">
        <v>596</v>
      </c>
      <c r="G22" s="165" t="s">
        <v>580</v>
      </c>
      <c r="H22" s="164" t="s">
        <v>581</v>
      </c>
      <c r="I22" s="164"/>
      <c r="J22" s="164"/>
      <c r="K22" s="164"/>
      <c r="L22" s="164"/>
      <c r="M22" s="164" t="s">
        <v>582</v>
      </c>
      <c r="N22" s="164"/>
      <c r="O22" s="164"/>
    </row>
    <row r="23" spans="1:15" s="2" customFormat="1" ht="90.75" hidden="1" customHeight="1" outlineLevel="1">
      <c r="A23" s="167">
        <v>16</v>
      </c>
      <c r="B23" s="164" t="str">
        <f>'Implementation Plan V2 Sep25'!E26</f>
        <v>5.1.1</v>
      </c>
      <c r="C23" s="164" t="str">
        <f>'Implementation Plan V2 Sep25'!F26</f>
        <v>Planning for delivery of impact-based messages and warnings to end-users, considering persons with disabilities and vulnerable groups.</v>
      </c>
      <c r="D23" s="168">
        <f>'Implementation Plan V2 Sep25'!N26</f>
        <v>74.532173913043493</v>
      </c>
      <c r="E23" s="168" t="s">
        <v>578</v>
      </c>
      <c r="F23" s="165" t="s">
        <v>597</v>
      </c>
      <c r="G23" s="165" t="s">
        <v>580</v>
      </c>
      <c r="H23" s="164" t="s">
        <v>581</v>
      </c>
      <c r="I23" s="164"/>
      <c r="J23" s="164"/>
      <c r="K23" s="164"/>
      <c r="L23" s="164"/>
      <c r="M23" s="164" t="s">
        <v>582</v>
      </c>
      <c r="N23" s="164"/>
      <c r="O23" s="164"/>
    </row>
    <row r="24" spans="1:15" s="2" customFormat="1" ht="64.5" hidden="1" customHeight="1" outlineLevel="1">
      <c r="A24" s="167">
        <v>17</v>
      </c>
      <c r="B24" s="164" t="str">
        <f>'Implementation Plan V2 Sep25'!E27</f>
        <v>5.1.2</v>
      </c>
      <c r="C24" s="164" t="str">
        <f>'Implementation Plan V2 Sep25'!F27</f>
        <v>Prepare impact-based, location specific warnings, based on assessments and modelling, and incorporating traditional knowledge</v>
      </c>
      <c r="D24" s="168">
        <f>'Implementation Plan V2 Sep25'!N27</f>
        <v>0</v>
      </c>
      <c r="E24" s="168" t="s">
        <v>578</v>
      </c>
      <c r="F24" s="165" t="s">
        <v>598</v>
      </c>
      <c r="G24" s="165" t="s">
        <v>580</v>
      </c>
      <c r="H24" s="164" t="s">
        <v>581</v>
      </c>
      <c r="I24" s="164"/>
      <c r="J24" s="164"/>
      <c r="K24" s="164"/>
      <c r="L24" s="164"/>
      <c r="M24" s="164" t="s">
        <v>582</v>
      </c>
      <c r="N24" s="164"/>
      <c r="O24" s="164"/>
    </row>
    <row r="25" spans="1:15" s="2" customFormat="1" ht="57" hidden="1" outlineLevel="1">
      <c r="A25" s="167">
        <v>18</v>
      </c>
      <c r="B25" s="164" t="str">
        <f>'Implementation Plan V2 Sep25'!E28</f>
        <v>5.1.3</v>
      </c>
      <c r="C25" s="164" t="str">
        <f>'Implementation Plan V2 Sep25'!F28</f>
        <v>Deliver and continuously review impact based messaging including translation into local languages</v>
      </c>
      <c r="D25" s="168">
        <f>'Implementation Plan V2 Sep25'!N28</f>
        <v>0</v>
      </c>
      <c r="E25" s="168" t="s">
        <v>578</v>
      </c>
      <c r="F25" s="164" t="s">
        <v>599</v>
      </c>
      <c r="G25" s="165" t="s">
        <v>580</v>
      </c>
      <c r="H25" s="164" t="s">
        <v>581</v>
      </c>
      <c r="I25" s="164"/>
      <c r="J25" s="164"/>
      <c r="K25" s="164"/>
      <c r="L25" s="164"/>
      <c r="M25" s="164" t="s">
        <v>582</v>
      </c>
      <c r="N25" s="164"/>
      <c r="O25" s="164"/>
    </row>
    <row r="26" spans="1:15" s="2" customFormat="1" ht="33" hidden="1" customHeight="1" outlineLevel="1">
      <c r="A26" s="167">
        <v>19</v>
      </c>
      <c r="B26" s="164" t="str">
        <f>'Implementation Plan V2 Sep25'!E29</f>
        <v>5.1.4</v>
      </c>
      <c r="C26" s="164" t="str">
        <f>'Implementation Plan V2 Sep25'!F29</f>
        <v>Inclusive Community Education and Information-Exchange collectives</v>
      </c>
      <c r="D26" s="168">
        <f>'Implementation Plan V2 Sep25'!N29</f>
        <v>206.72050546913047</v>
      </c>
      <c r="E26" s="168" t="s">
        <v>578</v>
      </c>
      <c r="F26" s="164" t="s">
        <v>600</v>
      </c>
      <c r="G26" s="165" t="s">
        <v>580</v>
      </c>
      <c r="H26" s="164" t="s">
        <v>581</v>
      </c>
      <c r="I26" s="164"/>
      <c r="J26" s="164"/>
      <c r="K26" s="164"/>
      <c r="L26" s="164"/>
      <c r="M26" s="164" t="s">
        <v>582</v>
      </c>
      <c r="N26" s="164"/>
      <c r="O26" s="164"/>
    </row>
    <row r="27" spans="1:15" s="2" customFormat="1" ht="71.25" hidden="1" outlineLevel="1">
      <c r="A27" s="167">
        <v>20</v>
      </c>
      <c r="B27" s="164" t="str">
        <f>'Implementation Plan V2 Sep25'!E30</f>
        <v>5.1.5</v>
      </c>
      <c r="C27" s="164" t="str">
        <f>'Implementation Plan V2 Sep25'!F30</f>
        <v xml:space="preserve">Develop innovative approaches for dissemination of forecasts and warnings to end-users (e.g. cell broadcasting, mobile apps, social media) </v>
      </c>
      <c r="D27" s="168">
        <f>'Implementation Plan V2 Sep25'!N30</f>
        <v>24</v>
      </c>
      <c r="E27" s="168"/>
      <c r="F27" s="164" t="s">
        <v>601</v>
      </c>
      <c r="G27" s="165" t="s">
        <v>580</v>
      </c>
      <c r="H27" s="164" t="s">
        <v>581</v>
      </c>
      <c r="I27" s="164"/>
      <c r="J27" s="164"/>
      <c r="K27" s="164"/>
      <c r="L27" s="164"/>
      <c r="M27" s="164" t="s">
        <v>582</v>
      </c>
      <c r="N27" s="164"/>
      <c r="O27" s="164"/>
    </row>
    <row r="28" spans="1:15" s="2" customFormat="1" ht="42.75" hidden="1" outlineLevel="1">
      <c r="A28" s="167">
        <v>21</v>
      </c>
      <c r="B28" s="164" t="str">
        <f>'Implementation Plan V2 Sep25'!E31</f>
        <v>5.1.6</v>
      </c>
      <c r="C28" s="164" t="str">
        <f>'Implementation Plan V2 Sep25'!F31</f>
        <v>Install communication internet access equipment and operational costs</v>
      </c>
      <c r="D28" s="168">
        <f>'Implementation Plan V2 Sep25'!N31</f>
        <v>157.72513043478261</v>
      </c>
      <c r="E28" s="168" t="s">
        <v>578</v>
      </c>
      <c r="F28" s="165" t="s">
        <v>602</v>
      </c>
      <c r="G28" s="165" t="s">
        <v>580</v>
      </c>
      <c r="H28" s="164" t="s">
        <v>581</v>
      </c>
      <c r="I28" s="164"/>
      <c r="J28" s="164"/>
      <c r="K28" s="164"/>
      <c r="L28" s="164"/>
      <c r="M28" s="164" t="s">
        <v>582</v>
      </c>
      <c r="N28" s="164"/>
      <c r="O28" s="164"/>
    </row>
    <row r="29" spans="1:15" s="2" customFormat="1" ht="62.25" hidden="1" customHeight="1" outlineLevel="1">
      <c r="A29" s="167">
        <v>22</v>
      </c>
      <c r="B29" s="164" t="str">
        <f>'Implementation Plan V2 Sep25'!E32</f>
        <v>5.1.7</v>
      </c>
      <c r="C29" s="164" t="str">
        <f>'Implementation Plan V2 Sep25'!F32</f>
        <v>Provide additional staff for warning communication and engagement to expand capacity</v>
      </c>
      <c r="D29" s="168">
        <f>'Implementation Plan V2 Sep25'!N32</f>
        <v>163.262</v>
      </c>
      <c r="E29" s="168">
        <f>1072</f>
        <v>1072</v>
      </c>
      <c r="F29" s="164" t="s">
        <v>603</v>
      </c>
      <c r="G29" s="165" t="s">
        <v>580</v>
      </c>
      <c r="H29" s="164" t="s">
        <v>581</v>
      </c>
      <c r="I29" s="164"/>
      <c r="J29" s="164"/>
      <c r="K29" s="164"/>
      <c r="L29" s="164"/>
      <c r="M29" s="164" t="s">
        <v>582</v>
      </c>
      <c r="N29" s="164"/>
      <c r="O29" s="164"/>
    </row>
    <row r="30" spans="1:15" s="2" customFormat="1" ht="28.5" hidden="1" outlineLevel="1">
      <c r="A30" s="167">
        <v>23</v>
      </c>
      <c r="B30" s="164" t="str">
        <f>'Implementation Plan V2 Sep25'!E35</f>
        <v>3.2.1</v>
      </c>
      <c r="C30" s="164" t="str">
        <f>'Implementation Plan V2 Sep25'!F35</f>
        <v>Establish and operate a Regional Instrument Centre (RIC)</v>
      </c>
      <c r="D30" s="168">
        <f>'Implementation Plan V2 Sep25'!N35</f>
        <v>50.504347826086956</v>
      </c>
      <c r="E30" s="168" t="s">
        <v>578</v>
      </c>
      <c r="F30" s="164" t="s">
        <v>604</v>
      </c>
      <c r="G30" s="165" t="s">
        <v>580</v>
      </c>
      <c r="H30" s="164" t="s">
        <v>581</v>
      </c>
      <c r="I30" s="164"/>
      <c r="J30" s="164"/>
      <c r="K30" s="164"/>
      <c r="L30" s="164"/>
      <c r="M30" s="164" t="s">
        <v>582</v>
      </c>
      <c r="N30" s="164"/>
      <c r="O30" s="164"/>
    </row>
    <row r="31" spans="1:15" s="2" customFormat="1" ht="153" hidden="1" customHeight="1" outlineLevel="1">
      <c r="A31" s="167">
        <v>24</v>
      </c>
      <c r="B31" s="164" t="str">
        <f>'Implementation Plan V2 Sep25'!E37</f>
        <v>3.1.1</v>
      </c>
      <c r="C31" s="164" t="str">
        <f>'Implementation Plan V2 Sep25'!F37</f>
        <v>Implement observation network plans, asset management, standardised infrastructure, data management and maintenance practices</v>
      </c>
      <c r="D31" s="169">
        <f>'Implementation Plan V2 Sep25'!N37</f>
        <v>976.67</v>
      </c>
      <c r="E31" s="169">
        <f>(350000*0.62+'Project Register'!AA36+'Project Register'!AA38+'Project Register'!AA46)/1000</f>
        <v>623.69899999999996</v>
      </c>
      <c r="F31" s="165" t="s">
        <v>605</v>
      </c>
      <c r="G31" s="165" t="s">
        <v>580</v>
      </c>
      <c r="H31" s="164" t="s">
        <v>581</v>
      </c>
      <c r="I31" s="164"/>
      <c r="J31" s="164"/>
      <c r="K31" s="164"/>
      <c r="L31" s="164"/>
      <c r="M31" s="164" t="s">
        <v>582</v>
      </c>
      <c r="N31" s="164"/>
      <c r="O31" s="164"/>
    </row>
    <row r="32" spans="1:15" s="2" customFormat="1" ht="63.75" hidden="1" customHeight="1" outlineLevel="1">
      <c r="A32" s="167">
        <v>25</v>
      </c>
      <c r="B32" s="164" t="str">
        <f>'Implementation Plan V2 Sep25'!E39</f>
        <v>3.1.2</v>
      </c>
      <c r="C32" s="164" t="str">
        <f>'Implementation Plan V2 Sep25'!F39</f>
        <v>Provide asset management and maintenance staff to expand capacity (e.g. SPREP, SPC, NMHS)</v>
      </c>
      <c r="D32" s="168">
        <f>'Implementation Plan V2 Sep25'!N39</f>
        <v>1073.6395</v>
      </c>
      <c r="E32" s="168">
        <v>1099</v>
      </c>
      <c r="F32" s="164" t="s">
        <v>606</v>
      </c>
      <c r="G32" s="165" t="s">
        <v>580</v>
      </c>
      <c r="H32" s="164" t="s">
        <v>581</v>
      </c>
      <c r="I32" s="164"/>
      <c r="J32" s="164"/>
      <c r="K32" s="164"/>
      <c r="L32" s="164"/>
      <c r="M32" s="164" t="s">
        <v>582</v>
      </c>
      <c r="N32" s="164"/>
      <c r="O32" s="164"/>
    </row>
    <row r="33" spans="1:15" s="2" customFormat="1" ht="28.5" hidden="1" outlineLevel="1">
      <c r="A33" s="167">
        <v>26</v>
      </c>
      <c r="B33" s="164" t="str">
        <f>'Implementation Plan V2 Sep25'!E40</f>
        <v>3.1.3</v>
      </c>
      <c r="C33" s="164" t="str">
        <f>'Implementation Plan V2 Sep25'!F40</f>
        <v xml:space="preserve">Revitalise and expand automatic and manual weather stations </v>
      </c>
      <c r="D33" s="168">
        <f>'Implementation Plan V2 Sep25'!N40</f>
        <v>1500</v>
      </c>
      <c r="E33" s="168" t="s">
        <v>578</v>
      </c>
      <c r="F33" s="164" t="s">
        <v>607</v>
      </c>
      <c r="G33" s="165" t="s">
        <v>580</v>
      </c>
      <c r="H33" s="164" t="s">
        <v>581</v>
      </c>
      <c r="I33" s="164"/>
      <c r="J33" s="164"/>
      <c r="K33" s="164"/>
      <c r="L33" s="164"/>
      <c r="M33" s="164" t="s">
        <v>582</v>
      </c>
      <c r="N33" s="164"/>
      <c r="O33" s="164"/>
    </row>
    <row r="34" spans="1:15" s="2" customFormat="1" ht="28.5" hidden="1" outlineLevel="1">
      <c r="A34" s="167">
        <v>27</v>
      </c>
      <c r="B34" s="164" t="str">
        <f>'Implementation Plan V2 Sep25'!E41</f>
        <v>3.1.4</v>
      </c>
      <c r="C34" s="164" t="str">
        <f>'Implementation Plan V2 Sep25'!F41</f>
        <v>Revitalise and expand river gauges and rain gauges</v>
      </c>
      <c r="D34" s="170">
        <f>'Implementation Plan V2 Sep25'!N41</f>
        <v>0</v>
      </c>
      <c r="E34" s="169" t="s">
        <v>578</v>
      </c>
      <c r="F34" s="165" t="s">
        <v>608</v>
      </c>
      <c r="G34" s="165" t="s">
        <v>580</v>
      </c>
      <c r="H34" s="164" t="s">
        <v>581</v>
      </c>
      <c r="I34" s="164"/>
      <c r="J34" s="164"/>
      <c r="K34" s="164"/>
      <c r="L34" s="164"/>
      <c r="M34" s="164" t="s">
        <v>582</v>
      </c>
      <c r="N34" s="164"/>
      <c r="O34" s="164"/>
    </row>
    <row r="35" spans="1:15" s="2" customFormat="1" ht="67.5" hidden="1" customHeight="1" outlineLevel="1">
      <c r="A35" s="167">
        <v>28</v>
      </c>
      <c r="B35" s="164" t="str">
        <f>'Implementation Plan V2 Sep25'!E42</f>
        <v>3.1.5</v>
      </c>
      <c r="C35" s="164" t="str">
        <f>'Implementation Plan V2 Sep25'!F42</f>
        <v>Establish weather watch radars</v>
      </c>
      <c r="D35" s="168">
        <f>'Implementation Plan V2 Sep25'!N42</f>
        <v>6962.152</v>
      </c>
      <c r="E35" s="168">
        <f>(2370000*0.62+'Project Register'!AA40+'Project Register'!AA42)/1000</f>
        <v>6406.5519999999997</v>
      </c>
      <c r="F35" s="165" t="s">
        <v>609</v>
      </c>
      <c r="G35" s="165" t="s">
        <v>580</v>
      </c>
      <c r="H35" s="164" t="s">
        <v>581</v>
      </c>
      <c r="I35" s="164"/>
      <c r="J35" s="164"/>
      <c r="K35" s="164"/>
      <c r="L35" s="164"/>
      <c r="M35" s="164" t="s">
        <v>582</v>
      </c>
      <c r="N35" s="164"/>
      <c r="O35" s="164"/>
    </row>
    <row r="36" spans="1:15" s="2" customFormat="1" ht="28.5" hidden="1" outlineLevel="1">
      <c r="A36" s="167">
        <v>29</v>
      </c>
      <c r="B36" s="164" t="str">
        <f>'Implementation Plan V2 Sep25'!E43</f>
        <v>3.1.6</v>
      </c>
      <c r="C36" s="164" t="str">
        <f>'Implementation Plan V2 Sep25'!F43</f>
        <v>Revitalise and expand wave buoys</v>
      </c>
      <c r="D36" s="168">
        <f>'Implementation Plan V2 Sep25'!N43</f>
        <v>0</v>
      </c>
      <c r="E36" s="168" t="s">
        <v>578</v>
      </c>
      <c r="F36" s="165" t="s">
        <v>610</v>
      </c>
      <c r="G36" s="165" t="s">
        <v>580</v>
      </c>
      <c r="H36" s="164" t="s">
        <v>581</v>
      </c>
      <c r="I36" s="164"/>
      <c r="J36" s="164"/>
      <c r="K36" s="164"/>
      <c r="L36" s="164"/>
      <c r="M36" s="164" t="s">
        <v>582</v>
      </c>
      <c r="N36" s="164"/>
      <c r="O36" s="164"/>
    </row>
    <row r="37" spans="1:15" s="2" customFormat="1" ht="28.5" hidden="1" outlineLevel="1">
      <c r="A37" s="167">
        <v>30</v>
      </c>
      <c r="B37" s="164" t="str">
        <f>'Implementation Plan V2 Sep25'!E44</f>
        <v>3.1.7</v>
      </c>
      <c r="C37" s="164" t="str">
        <f>'Implementation Plan V2 Sep25'!F44</f>
        <v>Revitalise and expand tide gauges</v>
      </c>
      <c r="D37" s="168">
        <f>'Implementation Plan V2 Sep25'!N44</f>
        <v>0</v>
      </c>
      <c r="E37" s="168" t="s">
        <v>578</v>
      </c>
      <c r="F37" s="165" t="s">
        <v>611</v>
      </c>
      <c r="G37" s="165" t="s">
        <v>580</v>
      </c>
      <c r="H37" s="164" t="s">
        <v>581</v>
      </c>
      <c r="I37" s="164"/>
      <c r="J37" s="164"/>
      <c r="K37" s="164"/>
      <c r="L37" s="164"/>
      <c r="M37" s="164" t="s">
        <v>582</v>
      </c>
      <c r="N37" s="164"/>
      <c r="O37" s="164"/>
    </row>
    <row r="38" spans="1:15" s="2" customFormat="1" ht="42.75" hidden="1" outlineLevel="1">
      <c r="A38" s="167">
        <v>31</v>
      </c>
      <c r="B38" s="164" t="str">
        <f>'Implementation Plan V2 Sep25'!E45</f>
        <v>3.1.8</v>
      </c>
      <c r="C38" s="164" t="str">
        <f>'Implementation Plan V2 Sep25'!F45</f>
        <v>Revitalise and expand Meteorological balloon launching systems</v>
      </c>
      <c r="D38" s="168">
        <f>'Implementation Plan V2 Sep25'!N45</f>
        <v>0</v>
      </c>
      <c r="E38" s="168" t="s">
        <v>578</v>
      </c>
      <c r="F38" s="165" t="s">
        <v>612</v>
      </c>
      <c r="G38" s="165" t="s">
        <v>580</v>
      </c>
      <c r="H38" s="164" t="s">
        <v>581</v>
      </c>
      <c r="I38" s="164"/>
      <c r="J38" s="164"/>
      <c r="K38" s="164"/>
      <c r="L38" s="164"/>
      <c r="M38" s="164" t="s">
        <v>582</v>
      </c>
      <c r="N38" s="164"/>
      <c r="O38" s="164"/>
    </row>
    <row r="39" spans="1:15" s="2" customFormat="1" ht="42.75" hidden="1" outlineLevel="1">
      <c r="A39" s="167">
        <v>32</v>
      </c>
      <c r="B39" s="164" t="str">
        <f>'Implementation Plan V2 Sep25'!E46</f>
        <v>3.1.9</v>
      </c>
      <c r="C39" s="164" t="str">
        <f>'Implementation Plan V2 Sep25'!F46</f>
        <v>Data capture from aircraft observation using the aircraft meteorological data relay system</v>
      </c>
      <c r="D39" s="168">
        <f>'Implementation Plan V2 Sep25'!N46</f>
        <v>0</v>
      </c>
      <c r="E39" s="168" t="s">
        <v>578</v>
      </c>
      <c r="F39" s="164"/>
      <c r="G39" s="165" t="s">
        <v>580</v>
      </c>
      <c r="H39" s="164" t="s">
        <v>581</v>
      </c>
      <c r="I39" s="164"/>
      <c r="J39" s="164"/>
      <c r="K39" s="164"/>
      <c r="L39" s="164"/>
      <c r="M39" s="164" t="s">
        <v>582</v>
      </c>
      <c r="N39" s="164"/>
      <c r="O39" s="164"/>
    </row>
    <row r="40" spans="1:15" s="2" customFormat="1" ht="62.25" hidden="1" customHeight="1" outlineLevel="1">
      <c r="A40" s="167">
        <v>33</v>
      </c>
      <c r="B40" s="164" t="str">
        <f>'Implementation Plan V2 Sep25'!E49</f>
        <v>2.1.1</v>
      </c>
      <c r="C40" s="164" t="str">
        <f>'Implementation Plan V2 Sep25'!F49</f>
        <v>Establish and operate a Regional Training Centre (RTC)</v>
      </c>
      <c r="D40" s="168">
        <f>'Implementation Plan V2 Sep25'!N49</f>
        <v>237.9826086956522</v>
      </c>
      <c r="E40" s="168">
        <f>(62180+31000)/1.15/1000</f>
        <v>81.026086956521738</v>
      </c>
      <c r="F40" s="165" t="s">
        <v>613</v>
      </c>
      <c r="G40" s="165" t="s">
        <v>580</v>
      </c>
      <c r="H40" s="164" t="s">
        <v>581</v>
      </c>
      <c r="I40" s="164"/>
      <c r="J40" s="164"/>
      <c r="K40" s="164"/>
      <c r="L40" s="164"/>
      <c r="M40" s="164" t="s">
        <v>582</v>
      </c>
      <c r="N40" s="164"/>
      <c r="O40" s="164"/>
    </row>
    <row r="41" spans="1:15" s="2" customFormat="1" ht="48.75" hidden="1" customHeight="1" outlineLevel="1">
      <c r="A41" s="167">
        <v>34</v>
      </c>
      <c r="B41" s="164" t="str">
        <f>'Implementation Plan V2 Sep25'!E51</f>
        <v>2.2.1</v>
      </c>
      <c r="C41" s="164" t="str">
        <f>'Implementation Plan V2 Sep25'!F51</f>
        <v>Training of forecasters to BIP-M standard</v>
      </c>
      <c r="D41" s="168">
        <f>'Implementation Plan V2 Sep25'!N51</f>
        <v>811.59275000000002</v>
      </c>
      <c r="E41" s="168">
        <f>((120000+200000+150000)*0.62+'Project Register'!AA28)/1000</f>
        <v>510.64</v>
      </c>
      <c r="F41" s="164" t="s">
        <v>614</v>
      </c>
      <c r="G41" s="165" t="s">
        <v>580</v>
      </c>
      <c r="H41" s="164" t="s">
        <v>581</v>
      </c>
      <c r="I41" s="164"/>
      <c r="J41" s="164"/>
      <c r="K41" s="164"/>
      <c r="L41" s="164"/>
      <c r="M41" s="164" t="s">
        <v>582</v>
      </c>
      <c r="N41" s="164"/>
      <c r="O41" s="164"/>
    </row>
    <row r="42" spans="1:15" s="2" customFormat="1" ht="90" hidden="1" customHeight="1" outlineLevel="1">
      <c r="A42" s="167">
        <v>35</v>
      </c>
      <c r="B42" s="164" t="str">
        <f>'Implementation Plan V2 Sep25'!E52</f>
        <v>2.2.2</v>
      </c>
      <c r="C42" s="164" t="str">
        <f>'Implementation Plan V2 Sep25'!F52</f>
        <v>Training on specialised forecasting services, and assessment of competencies (e.g. marine, aviation, hydrology/ hydrography)</v>
      </c>
      <c r="D42" s="168">
        <f>'Implementation Plan V2 Sep25'!N52</f>
        <v>160</v>
      </c>
      <c r="E42" s="168">
        <f>200*0.62</f>
        <v>124</v>
      </c>
      <c r="F42" s="165" t="s">
        <v>615</v>
      </c>
      <c r="G42" s="165" t="s">
        <v>580</v>
      </c>
      <c r="H42" s="164" t="s">
        <v>581</v>
      </c>
      <c r="I42" s="164"/>
      <c r="J42" s="164"/>
      <c r="K42" s="164"/>
      <c r="L42" s="164"/>
      <c r="M42" s="164" t="s">
        <v>582</v>
      </c>
      <c r="N42" s="164"/>
      <c r="O42" s="164"/>
    </row>
    <row r="43" spans="1:15" s="2" customFormat="1" ht="31.5" hidden="1" customHeight="1" outlineLevel="1">
      <c r="A43" s="167">
        <v>36</v>
      </c>
      <c r="B43" s="164" t="str">
        <f>'Implementation Plan V2 Sep25'!E53</f>
        <v>2.2.3</v>
      </c>
      <c r="C43" s="164" t="str">
        <f>'Implementation Plan V2 Sep25'!F53</f>
        <v>Training of observers, technicians and ICT specialists, and assessment of competencies</v>
      </c>
      <c r="D43" s="168">
        <f>'Implementation Plan V2 Sep25'!N53</f>
        <v>295.6521739130435</v>
      </c>
      <c r="E43" s="168">
        <f>'Project Register'!AA32/1000</f>
        <v>124.02018999999999</v>
      </c>
      <c r="F43" s="164" t="s">
        <v>616</v>
      </c>
      <c r="G43" s="165" t="s">
        <v>580</v>
      </c>
      <c r="H43" s="164" t="s">
        <v>581</v>
      </c>
      <c r="I43" s="164"/>
      <c r="J43" s="164"/>
      <c r="K43" s="164"/>
      <c r="L43" s="164"/>
      <c r="M43" s="164" t="s">
        <v>582</v>
      </c>
      <c r="N43" s="164"/>
      <c r="O43" s="164"/>
    </row>
    <row r="44" spans="1:15" s="2" customFormat="1" ht="57" hidden="1" outlineLevel="1">
      <c r="A44" s="167">
        <v>37</v>
      </c>
      <c r="B44" s="164" t="str">
        <f>'Implementation Plan V2 Sep25'!E54</f>
        <v>2.2.4</v>
      </c>
      <c r="C44" s="164" t="str">
        <f>'Implementation Plan V2 Sep25'!F54</f>
        <v>Establish and deliver a Pacific Meteorology Leadership Programme for mid and senior level staff</v>
      </c>
      <c r="D44" s="168">
        <f>'Implementation Plan V2 Sep25'!N54</f>
        <v>135.17391304347828</v>
      </c>
      <c r="E44" s="168" t="s">
        <v>578</v>
      </c>
      <c r="F44" s="164"/>
      <c r="G44" s="165" t="s">
        <v>580</v>
      </c>
      <c r="H44" s="164" t="s">
        <v>581</v>
      </c>
      <c r="I44" s="164"/>
      <c r="J44" s="164"/>
      <c r="K44" s="164"/>
      <c r="L44" s="164"/>
      <c r="M44" s="164" t="s">
        <v>582</v>
      </c>
      <c r="N44" s="164"/>
      <c r="O44" s="164"/>
    </row>
    <row r="45" spans="1:15" s="2" customFormat="1" ht="28.5" hidden="1" outlineLevel="1">
      <c r="A45" s="167">
        <v>38</v>
      </c>
      <c r="B45" s="164" t="str">
        <f>'Implementation Plan V2 Sep25'!E55</f>
        <v>2.2.5</v>
      </c>
      <c r="C45" s="164" t="str">
        <f>'Implementation Plan V2 Sep25'!F55</f>
        <v>Specialised regional workshops and training courses</v>
      </c>
      <c r="D45" s="168">
        <f>'Implementation Plan V2 Sep25'!N55</f>
        <v>207.45518371739135</v>
      </c>
      <c r="E45" s="168" t="s">
        <v>578</v>
      </c>
      <c r="F45" s="164"/>
      <c r="G45" s="165" t="s">
        <v>580</v>
      </c>
      <c r="H45" s="164" t="s">
        <v>581</v>
      </c>
      <c r="I45" s="164"/>
      <c r="J45" s="164"/>
      <c r="K45" s="164"/>
      <c r="L45" s="164"/>
      <c r="M45" s="164" t="s">
        <v>582</v>
      </c>
      <c r="N45" s="164"/>
      <c r="O45" s="164"/>
    </row>
    <row r="46" spans="1:15" s="2" customFormat="1" ht="48.75" hidden="1" customHeight="1" outlineLevel="1">
      <c r="A46" s="167">
        <v>39</v>
      </c>
      <c r="B46" s="164" t="str">
        <f>'Implementation Plan V2 Sep25'!E56</f>
        <v>2.2.6</v>
      </c>
      <c r="C46" s="164" t="str">
        <f>'Implementation Plan V2 Sep25'!F56</f>
        <v>Provide additional staff for training and capacity development</v>
      </c>
      <c r="D46" s="168">
        <f>'Implementation Plan V2 Sep25'!N56</f>
        <v>741.59386499999994</v>
      </c>
      <c r="E46" s="168" t="s">
        <v>578</v>
      </c>
      <c r="F46" s="164" t="s">
        <v>617</v>
      </c>
      <c r="G46" s="165" t="s">
        <v>580</v>
      </c>
      <c r="H46" s="164" t="s">
        <v>581</v>
      </c>
      <c r="I46" s="164"/>
      <c r="J46" s="164"/>
      <c r="K46" s="164"/>
      <c r="L46" s="164"/>
      <c r="M46" s="164" t="s">
        <v>582</v>
      </c>
      <c r="N46" s="164"/>
      <c r="O46" s="164"/>
    </row>
    <row r="47" spans="1:15" s="2" customFormat="1" ht="34.5" hidden="1" customHeight="1" outlineLevel="1">
      <c r="A47" s="167">
        <v>40</v>
      </c>
      <c r="B47" s="164" t="str">
        <f>'Implementation Plan V2 Sep25'!E58</f>
        <v>2.3.1</v>
      </c>
      <c r="C47" s="164" t="str">
        <f>'Implementation Plan V2 Sep25'!F58</f>
        <v>Twinning programme, ongoing mentoring and communities of practices</v>
      </c>
      <c r="D47" s="168">
        <f>'Implementation Plan V2 Sep25'!N58</f>
        <v>490.07100000000003</v>
      </c>
      <c r="E47" s="168" t="s">
        <v>578</v>
      </c>
      <c r="F47" s="165" t="s">
        <v>618</v>
      </c>
      <c r="G47" s="165" t="s">
        <v>580</v>
      </c>
      <c r="H47" s="164" t="s">
        <v>581</v>
      </c>
      <c r="I47" s="164"/>
      <c r="J47" s="164"/>
      <c r="K47" s="164"/>
      <c r="L47" s="164"/>
      <c r="M47" s="164" t="s">
        <v>582</v>
      </c>
      <c r="N47" s="164"/>
      <c r="O47" s="164"/>
    </row>
    <row r="48" spans="1:15" s="2" customFormat="1" ht="51" hidden="1" customHeight="1" outlineLevel="1">
      <c r="A48" s="167">
        <v>41</v>
      </c>
      <c r="B48" s="164" t="s">
        <v>619</v>
      </c>
      <c r="C48" s="164" t="str">
        <f>'Implementation Plan V2 Sep25'!F65</f>
        <v>Contingency and Other</v>
      </c>
      <c r="D48" s="168">
        <f>'Implementation Plan V2 Sep25'!N65</f>
        <v>750</v>
      </c>
      <c r="E48" s="164">
        <f>150*0.62</f>
        <v>93</v>
      </c>
      <c r="F48" s="165" t="s">
        <v>620</v>
      </c>
      <c r="G48" s="165" t="s">
        <v>580</v>
      </c>
      <c r="H48" s="164" t="s">
        <v>581</v>
      </c>
      <c r="I48" s="164"/>
      <c r="J48" s="164"/>
      <c r="K48" s="164"/>
      <c r="L48" s="164"/>
      <c r="M48" s="164" t="s">
        <v>582</v>
      </c>
      <c r="N48" s="164"/>
      <c r="O48" s="164"/>
    </row>
    <row r="49" spans="1:15" s="191" customFormat="1" ht="68.25" customHeight="1" collapsed="1">
      <c r="A49" s="188">
        <v>42</v>
      </c>
      <c r="B49" s="189" t="str">
        <f>'Implementation Plan MASTER'!E4</f>
        <v>1.1.1</v>
      </c>
      <c r="C49" s="189" t="str">
        <f>'Implementation Plan MASTER'!F4</f>
        <v>Establish the PMU, Operational Processes and WRP pooled fund</v>
      </c>
      <c r="D49" s="190">
        <f>'Implementation Plan MASTER'!N4</f>
        <v>338.82779521739133</v>
      </c>
      <c r="E49" s="190">
        <f>'Implementation Plan V2 Sep25'!N4</f>
        <v>356.02608695652174</v>
      </c>
      <c r="F49" s="189" t="s">
        <v>621</v>
      </c>
      <c r="G49" s="189" t="s">
        <v>580</v>
      </c>
      <c r="H49" s="192">
        <v>46059</v>
      </c>
      <c r="I49" s="189"/>
      <c r="J49" s="189"/>
      <c r="K49" s="189"/>
      <c r="L49" s="189"/>
      <c r="M49" s="189" t="s">
        <v>582</v>
      </c>
      <c r="N49" s="189"/>
      <c r="O49" s="189"/>
    </row>
    <row r="50" spans="1:15" ht="34.5" customHeight="1">
      <c r="A50" s="188">
        <v>43</v>
      </c>
      <c r="B50" s="189" t="str">
        <f>'Implementation Plan MASTER'!E5</f>
        <v>1.1.2</v>
      </c>
      <c r="C50" s="189" t="str">
        <f>'Implementation Plan MASTER'!F5</f>
        <v>Operational Phase of PMU and coordination activities</v>
      </c>
      <c r="D50" s="190">
        <f>'Implementation Plan MASTER'!N5</f>
        <v>2595.6738667391305</v>
      </c>
      <c r="E50" s="190">
        <f>'Implementation Plan V2 Sep25'!N5</f>
        <v>2621.8450072463766</v>
      </c>
      <c r="F50" s="189" t="s">
        <v>622</v>
      </c>
      <c r="G50" s="189" t="s">
        <v>580</v>
      </c>
      <c r="H50" s="192">
        <v>46059</v>
      </c>
      <c r="I50" s="189"/>
      <c r="J50" s="189"/>
      <c r="K50" s="189"/>
      <c r="L50" s="189"/>
      <c r="M50" s="189" t="s">
        <v>582</v>
      </c>
      <c r="N50" s="189"/>
      <c r="O50" s="189"/>
    </row>
    <row r="51" spans="1:15" ht="28.5">
      <c r="A51" s="188">
        <v>44</v>
      </c>
      <c r="B51" s="189" t="str">
        <f>'Implementation Plan MASTER'!E6</f>
        <v>1.1.3</v>
      </c>
      <c r="C51" s="189" t="str">
        <f>'Implementation Plan MASTER'!F6</f>
        <v>MERL framework establishment and operationalisation</v>
      </c>
      <c r="D51" s="190">
        <f>'Implementation Plan MASTER'!N6</f>
        <v>153.434</v>
      </c>
      <c r="E51" s="190">
        <f>'Implementation Plan V2 Sep25'!N6</f>
        <v>132.94800000000001</v>
      </c>
      <c r="F51" s="189" t="s">
        <v>623</v>
      </c>
      <c r="G51" s="189" t="s">
        <v>580</v>
      </c>
      <c r="H51" s="192">
        <v>46059</v>
      </c>
      <c r="I51" s="189"/>
      <c r="J51" s="189"/>
      <c r="K51" s="189"/>
      <c r="L51" s="189"/>
      <c r="M51" s="189" t="s">
        <v>582</v>
      </c>
      <c r="N51" s="189"/>
      <c r="O51" s="189"/>
    </row>
    <row r="52" spans="1:15" ht="38.25" customHeight="1">
      <c r="A52" s="188">
        <v>45</v>
      </c>
      <c r="B52" s="189" t="str">
        <f>'Implementation Plan MASTER'!E7</f>
        <v>1.1.4</v>
      </c>
      <c r="C52" s="189" t="str">
        <f>'Implementation Plan MASTER'!F7</f>
        <v>PMU Staff (Management and Delivery Support roles)</v>
      </c>
      <c r="D52" s="190">
        <f>'Implementation Plan MASTER'!N7</f>
        <v>4404.4213399999999</v>
      </c>
      <c r="E52" s="190">
        <f>'Implementation Plan V2 Sep25'!N7</f>
        <v>4725.1276166666676</v>
      </c>
      <c r="F52" s="189" t="s">
        <v>624</v>
      </c>
      <c r="G52" s="189" t="s">
        <v>580</v>
      </c>
      <c r="H52" s="192">
        <v>46059</v>
      </c>
      <c r="I52" s="189"/>
      <c r="J52" s="189"/>
      <c r="K52" s="189"/>
      <c r="L52" s="189"/>
      <c r="M52" s="189" t="s">
        <v>582</v>
      </c>
      <c r="N52" s="189"/>
      <c r="O52" s="189"/>
    </row>
    <row r="53" spans="1:15" ht="28.5">
      <c r="A53" s="188">
        <v>46</v>
      </c>
      <c r="B53" s="189" t="str">
        <f>'Implementation Plan MASTER'!E8</f>
        <v>1.1.5</v>
      </c>
      <c r="C53" s="189" t="str">
        <f>'Implementation Plan MASTER'!F8</f>
        <v>NMHS Staff to expand capacity to support programme delivery</v>
      </c>
      <c r="D53" s="190">
        <f>'Implementation Plan MASTER'!N8</f>
        <v>0</v>
      </c>
      <c r="E53" s="190">
        <f>'Implementation Plan V2 Sep25'!N8</f>
        <v>0</v>
      </c>
      <c r="F53" s="189"/>
      <c r="G53" s="189" t="s">
        <v>580</v>
      </c>
      <c r="H53" s="192">
        <v>46059</v>
      </c>
      <c r="I53" s="189"/>
      <c r="J53" s="189"/>
      <c r="K53" s="189"/>
      <c r="L53" s="189"/>
      <c r="M53" s="189" t="s">
        <v>582</v>
      </c>
      <c r="N53" s="189"/>
      <c r="O53" s="189"/>
    </row>
    <row r="54" spans="1:15" ht="48.75" customHeight="1">
      <c r="A54" s="188">
        <v>48</v>
      </c>
      <c r="B54" s="189" t="str">
        <f>'Implementation Plan MASTER'!E10</f>
        <v>1.2.1</v>
      </c>
      <c r="C54" s="189" t="str">
        <f>'Implementation Plan MASTER'!F10</f>
        <v>Sustainable hydrometeorological financing investment facility</v>
      </c>
      <c r="D54" s="190">
        <f>'Implementation Plan MASTER'!N10</f>
        <v>100</v>
      </c>
      <c r="E54" s="190">
        <f>'Implementation Plan V2 Sep25'!N10</f>
        <v>0</v>
      </c>
      <c r="F54" s="189" t="s">
        <v>625</v>
      </c>
      <c r="G54" s="189" t="s">
        <v>580</v>
      </c>
      <c r="H54" s="192">
        <v>46059</v>
      </c>
      <c r="I54" s="189"/>
      <c r="J54" s="189"/>
      <c r="K54" s="189"/>
      <c r="L54" s="189"/>
      <c r="M54" s="189" t="s">
        <v>582</v>
      </c>
      <c r="N54" s="189"/>
      <c r="O54" s="189"/>
    </row>
    <row r="55" spans="1:15" ht="42.75">
      <c r="A55" s="188">
        <v>50</v>
      </c>
      <c r="B55" s="189" t="str">
        <f>'Implementation Plan MASTER'!E12</f>
        <v>1.3.1</v>
      </c>
      <c r="C55" s="189" t="str">
        <f>'Implementation Plan MASTER'!F12</f>
        <v>GEDSI and social safeguards mainstreamed into WRP</v>
      </c>
      <c r="D55" s="190">
        <f>'Implementation Plan MASTER'!N12</f>
        <v>291.74450999999999</v>
      </c>
      <c r="E55" s="190">
        <f>'Implementation Plan V2 Sep25'!N12</f>
        <v>220.99742025</v>
      </c>
      <c r="F55" s="189" t="s">
        <v>626</v>
      </c>
      <c r="G55" s="189" t="s">
        <v>580</v>
      </c>
      <c r="H55" s="192">
        <v>46059</v>
      </c>
      <c r="I55" s="189"/>
      <c r="J55" s="189"/>
      <c r="K55" s="189"/>
      <c r="L55" s="189"/>
      <c r="M55" s="189" t="s">
        <v>582</v>
      </c>
      <c r="N55" s="189"/>
      <c r="O55" s="189"/>
    </row>
    <row r="56" spans="1:15" ht="42.75">
      <c r="A56" s="188">
        <v>51</v>
      </c>
      <c r="B56" s="189" t="str">
        <f>'Implementation Plan MASTER'!E13</f>
        <v>1.3.2</v>
      </c>
      <c r="C56" s="189" t="str">
        <f>'Implementation Plan MASTER'!F13</f>
        <v>Cultivating a diverse and GEDSI responsive hydrometeorological service and warning institutions</v>
      </c>
      <c r="D56" s="190">
        <f>'Implementation Plan MASTER'!N13</f>
        <v>0</v>
      </c>
      <c r="E56" s="190">
        <f>'Implementation Plan V2 Sep25'!N13</f>
        <v>0</v>
      </c>
      <c r="F56" s="189"/>
      <c r="G56" s="189" t="s">
        <v>580</v>
      </c>
      <c r="H56" s="192">
        <v>46059</v>
      </c>
      <c r="I56" s="189"/>
      <c r="J56" s="189"/>
      <c r="K56" s="189"/>
      <c r="L56" s="189"/>
      <c r="M56" s="189" t="s">
        <v>582</v>
      </c>
      <c r="N56" s="189"/>
      <c r="O56" s="189"/>
    </row>
    <row r="57" spans="1:15" ht="57">
      <c r="A57" s="188">
        <v>54</v>
      </c>
      <c r="B57" s="189" t="str">
        <f>'Implementation Plan MASTER'!E42</f>
        <v>4.1.1</v>
      </c>
      <c r="C57" s="189" t="str">
        <f>'Implementation Plan MASTER'!F42</f>
        <v>Develop an Integrated Forecasting Platform and strengthen RSMCs (incl WIS, CAP)</v>
      </c>
      <c r="D57" s="190">
        <f>'Implementation Plan MASTER'!N42</f>
        <v>1757.1914617391303</v>
      </c>
      <c r="E57" s="190">
        <f>'Implementation Plan V2 Sep25'!N16</f>
        <v>2557.1914617391303</v>
      </c>
      <c r="F57" s="189" t="s">
        <v>627</v>
      </c>
      <c r="G57" s="189" t="s">
        <v>580</v>
      </c>
      <c r="H57" s="192">
        <v>46059</v>
      </c>
      <c r="I57" s="189"/>
      <c r="J57" s="189"/>
      <c r="K57" s="189"/>
      <c r="L57" s="189"/>
      <c r="M57" s="189" t="s">
        <v>582</v>
      </c>
      <c r="N57" s="189"/>
      <c r="O57" s="189"/>
    </row>
    <row r="58" spans="1:15" ht="14.25">
      <c r="A58" s="188">
        <v>56</v>
      </c>
      <c r="B58" s="189" t="str">
        <f>'Implementation Plan MASTER'!E44</f>
        <v>4.2.1</v>
      </c>
      <c r="C58" s="189" t="str">
        <f>'Implementation Plan MASTER'!F44</f>
        <v>Strengthen aviation forecasting</v>
      </c>
      <c r="D58" s="190">
        <f>'Implementation Plan MASTER'!N44</f>
        <v>30</v>
      </c>
      <c r="E58" s="190">
        <f>'Implementation Plan V2 Sep25'!N18</f>
        <v>30</v>
      </c>
      <c r="F58" s="189"/>
      <c r="G58" s="189" t="s">
        <v>580</v>
      </c>
      <c r="H58" s="192">
        <v>46059</v>
      </c>
      <c r="I58" s="189"/>
      <c r="J58" s="189"/>
      <c r="K58" s="189"/>
      <c r="L58" s="189"/>
      <c r="M58" s="189" t="s">
        <v>582</v>
      </c>
      <c r="N58" s="189"/>
      <c r="O58" s="189"/>
    </row>
    <row r="59" spans="1:15" ht="14.25">
      <c r="A59" s="188">
        <v>57</v>
      </c>
      <c r="B59" s="189" t="str">
        <f>'Implementation Plan MASTER'!E45</f>
        <v>4.2.2</v>
      </c>
      <c r="C59" s="189" t="str">
        <f>'Implementation Plan MASTER'!F45</f>
        <v>Strengthen public forecasting</v>
      </c>
      <c r="D59" s="190">
        <f>'Implementation Plan MASTER'!N45</f>
        <v>597.64700000000005</v>
      </c>
      <c r="E59" s="190">
        <f>'Implementation Plan V2 Sep25'!N19</f>
        <v>597.64700000000005</v>
      </c>
      <c r="F59" s="189"/>
      <c r="G59" s="189" t="s">
        <v>580</v>
      </c>
      <c r="H59" s="192">
        <v>46059</v>
      </c>
      <c r="I59" s="189"/>
      <c r="J59" s="189"/>
      <c r="K59" s="189"/>
      <c r="L59" s="189"/>
      <c r="M59" s="189" t="s">
        <v>582</v>
      </c>
      <c r="N59" s="189"/>
      <c r="O59" s="189"/>
    </row>
    <row r="60" spans="1:15" ht="14.25">
      <c r="A60" s="188">
        <v>58</v>
      </c>
      <c r="B60" s="189" t="str">
        <f>'Implementation Plan MASTER'!E46</f>
        <v>4.2.3</v>
      </c>
      <c r="C60" s="189" t="str">
        <f>'Implementation Plan MASTER'!F46</f>
        <v>Strengthen marine forecasting</v>
      </c>
      <c r="D60" s="190">
        <f>'Implementation Plan MASTER'!N46</f>
        <v>0</v>
      </c>
      <c r="E60" s="190">
        <f>'Implementation Plan V2 Sep25'!N20</f>
        <v>0</v>
      </c>
      <c r="F60" s="189"/>
      <c r="G60" s="189" t="s">
        <v>580</v>
      </c>
      <c r="H60" s="192">
        <v>46059</v>
      </c>
      <c r="I60" s="189"/>
      <c r="J60" s="189"/>
      <c r="K60" s="189"/>
      <c r="L60" s="189"/>
      <c r="M60" s="189" t="s">
        <v>582</v>
      </c>
      <c r="N60" s="189"/>
      <c r="O60" s="189"/>
    </row>
    <row r="61" spans="1:15" ht="28.5">
      <c r="A61" s="188">
        <v>59</v>
      </c>
      <c r="B61" s="189" t="str">
        <f>'Implementation Plan MASTER'!E47</f>
        <v>4.2.4</v>
      </c>
      <c r="C61" s="189" t="str">
        <f>'Implementation Plan MASTER'!F47</f>
        <v>Strengthen coastal inundation forecasting</v>
      </c>
      <c r="D61" s="190">
        <f>'Implementation Plan MASTER'!N47</f>
        <v>1204.92696</v>
      </c>
      <c r="E61" s="190">
        <f>'Implementation Plan V2 Sep25'!N21</f>
        <v>1191.1865</v>
      </c>
      <c r="F61" s="189" t="s">
        <v>628</v>
      </c>
      <c r="G61" s="189" t="s">
        <v>580</v>
      </c>
      <c r="H61" s="192">
        <v>46059</v>
      </c>
      <c r="I61" s="189"/>
      <c r="J61" s="189"/>
      <c r="K61" s="189"/>
      <c r="L61" s="189"/>
      <c r="M61" s="189" t="s">
        <v>582</v>
      </c>
      <c r="N61" s="189"/>
      <c r="O61" s="189"/>
    </row>
    <row r="62" spans="1:15" ht="28.5">
      <c r="A62" s="188">
        <v>60</v>
      </c>
      <c r="B62" s="189" t="str">
        <f>'Implementation Plan MASTER'!E48</f>
        <v>4.2.5</v>
      </c>
      <c r="C62" s="189" t="str">
        <f>'Implementation Plan MASTER'!F48</f>
        <v>Strengthen hydrological services and riverine flood forecasting</v>
      </c>
      <c r="D62" s="190">
        <f>'Implementation Plan MASTER'!N48</f>
        <v>92.973749999999995</v>
      </c>
      <c r="E62" s="190">
        <f>'Implementation Plan V2 Sep25'!N22</f>
        <v>92.973749999999995</v>
      </c>
      <c r="F62" s="189"/>
      <c r="G62" s="189" t="s">
        <v>580</v>
      </c>
      <c r="H62" s="192">
        <v>46059</v>
      </c>
      <c r="I62" s="189"/>
      <c r="J62" s="189"/>
      <c r="K62" s="189"/>
      <c r="L62" s="189"/>
      <c r="M62" s="189" t="s">
        <v>582</v>
      </c>
      <c r="N62" s="189"/>
      <c r="O62" s="189"/>
    </row>
    <row r="63" spans="1:15" ht="42.75">
      <c r="A63" s="188">
        <v>61</v>
      </c>
      <c r="B63" s="189" t="str">
        <f>'Implementation Plan MASTER'!E49</f>
        <v>4.2.6</v>
      </c>
      <c r="C63" s="189" t="str">
        <f>'Implementation Plan MASTER'!F49</f>
        <v>Provide additional ICT and other technical staff to expand capacity</v>
      </c>
      <c r="D63" s="190">
        <f>'Implementation Plan MASTER'!N49</f>
        <v>910.20184999999992</v>
      </c>
      <c r="E63" s="190">
        <f>'Implementation Plan V2 Sep25'!N23</f>
        <v>1066.93875</v>
      </c>
      <c r="F63" s="189" t="s">
        <v>629</v>
      </c>
      <c r="G63" s="189" t="s">
        <v>580</v>
      </c>
      <c r="H63" s="192">
        <v>46059</v>
      </c>
      <c r="I63" s="189"/>
      <c r="J63" s="189"/>
      <c r="K63" s="189"/>
      <c r="L63" s="189"/>
      <c r="M63" s="189" t="s">
        <v>582</v>
      </c>
      <c r="N63" s="189"/>
      <c r="O63" s="189"/>
    </row>
    <row r="64" spans="1:15" ht="71.25">
      <c r="A64" s="188">
        <v>64</v>
      </c>
      <c r="B64" s="189" t="str">
        <f>'Implementation Plan MASTER'!E52</f>
        <v>5.1.1</v>
      </c>
      <c r="C64" s="189" t="str">
        <f>'Implementation Plan MASTER'!F52</f>
        <v>Planning for delivery of impact-based messages and warnings to end-users, considering persons with disabilities and vulnerable groups.</v>
      </c>
      <c r="D64" s="190">
        <f>'Implementation Plan MASTER'!N52</f>
        <v>70.000000913043493</v>
      </c>
      <c r="E64" s="190">
        <f>'Implementation Plan V2 Sep25'!N26</f>
        <v>74.532173913043493</v>
      </c>
      <c r="F64" s="189" t="s">
        <v>630</v>
      </c>
      <c r="G64" s="189" t="s">
        <v>580</v>
      </c>
      <c r="H64" s="192">
        <v>46059</v>
      </c>
      <c r="I64" s="189"/>
      <c r="J64" s="189"/>
      <c r="K64" s="189"/>
      <c r="L64" s="189"/>
      <c r="M64" s="189" t="s">
        <v>582</v>
      </c>
      <c r="N64" s="189"/>
      <c r="O64" s="189"/>
    </row>
    <row r="65" spans="1:15" ht="71.25">
      <c r="A65" s="188">
        <v>65</v>
      </c>
      <c r="B65" s="189" t="str">
        <f>'Implementation Plan MASTER'!E53</f>
        <v>5.1.2</v>
      </c>
      <c r="C65" s="189" t="str">
        <f>'Implementation Plan MASTER'!F53</f>
        <v>Prepare impact-based, location specific warnings, based on assessments and modelling, and incorporating traditional knowledge</v>
      </c>
      <c r="D65" s="190">
        <f>'Implementation Plan MASTER'!N53</f>
        <v>0</v>
      </c>
      <c r="E65" s="190">
        <f>'Implementation Plan V2 Sep25'!N27</f>
        <v>0</v>
      </c>
      <c r="F65" s="189"/>
      <c r="G65" s="189" t="s">
        <v>580</v>
      </c>
      <c r="H65" s="192">
        <v>46059</v>
      </c>
      <c r="I65" s="189"/>
      <c r="J65" s="189"/>
      <c r="K65" s="189"/>
      <c r="L65" s="189"/>
      <c r="M65" s="189" t="s">
        <v>582</v>
      </c>
      <c r="N65" s="189"/>
      <c r="O65" s="189"/>
    </row>
    <row r="66" spans="1:15" ht="57">
      <c r="A66" s="188">
        <v>66</v>
      </c>
      <c r="B66" s="189" t="str">
        <f>'Implementation Plan MASTER'!E54</f>
        <v>5.1.3</v>
      </c>
      <c r="C66" s="189" t="str">
        <f>'Implementation Plan MASTER'!F54</f>
        <v>Deliver and continuously review impact based messaging including translation into local languages</v>
      </c>
      <c r="D66" s="190">
        <f>'Implementation Plan MASTER'!N54</f>
        <v>0</v>
      </c>
      <c r="E66" s="190">
        <f>'Implementation Plan V2 Sep25'!N28</f>
        <v>0</v>
      </c>
      <c r="F66" s="189"/>
      <c r="G66" s="189" t="s">
        <v>580</v>
      </c>
      <c r="H66" s="192">
        <v>46059</v>
      </c>
      <c r="I66" s="189"/>
      <c r="J66" s="189"/>
      <c r="K66" s="189"/>
      <c r="L66" s="189"/>
      <c r="M66" s="189" t="s">
        <v>582</v>
      </c>
      <c r="N66" s="189"/>
      <c r="O66" s="189"/>
    </row>
    <row r="67" spans="1:15" ht="42.75">
      <c r="A67" s="188">
        <v>67</v>
      </c>
      <c r="B67" s="189" t="str">
        <f>'Implementation Plan MASTER'!E55</f>
        <v>5.1.4</v>
      </c>
      <c r="C67" s="189" t="str">
        <f>'Implementation Plan MASTER'!F55</f>
        <v>Inclusive Community Education and Information-Exchange collectives</v>
      </c>
      <c r="D67" s="190">
        <f>'Implementation Plan MASTER'!N55</f>
        <v>194.54389673913045</v>
      </c>
      <c r="E67" s="190">
        <f>'Implementation Plan V2 Sep25'!N29</f>
        <v>206.72050546913047</v>
      </c>
      <c r="F67" s="189" t="s">
        <v>631</v>
      </c>
      <c r="G67" s="189" t="s">
        <v>580</v>
      </c>
      <c r="H67" s="192">
        <v>46059</v>
      </c>
      <c r="I67" s="189"/>
      <c r="J67" s="189"/>
      <c r="K67" s="189"/>
      <c r="L67" s="189"/>
      <c r="M67" s="189" t="s">
        <v>582</v>
      </c>
      <c r="N67" s="189"/>
      <c r="O67" s="189"/>
    </row>
    <row r="68" spans="1:15" ht="71.25">
      <c r="A68" s="188">
        <v>68</v>
      </c>
      <c r="B68" s="189" t="str">
        <f>'Implementation Plan MASTER'!E56</f>
        <v>5.1.5</v>
      </c>
      <c r="C68" s="189" t="str">
        <f>'Implementation Plan MASTER'!F56</f>
        <v xml:space="preserve">Develop innovative approaches for dissemination of forecasts and warnings to end-users (e.g. cell broadcasting, mobile apps, social media) </v>
      </c>
      <c r="D68" s="190">
        <f>'Implementation Plan MASTER'!N56</f>
        <v>22.530699999999996</v>
      </c>
      <c r="E68" s="190">
        <f>'Implementation Plan V2 Sep25'!N30</f>
        <v>24</v>
      </c>
      <c r="F68" s="189" t="s">
        <v>630</v>
      </c>
      <c r="G68" s="189" t="s">
        <v>580</v>
      </c>
      <c r="H68" s="192">
        <v>46059</v>
      </c>
      <c r="I68" s="189"/>
      <c r="J68" s="189"/>
      <c r="K68" s="189"/>
      <c r="L68" s="189"/>
      <c r="M68" s="189" t="s">
        <v>582</v>
      </c>
      <c r="N68" s="189"/>
      <c r="O68" s="189"/>
    </row>
    <row r="69" spans="1:15" ht="42.75">
      <c r="A69" s="188">
        <v>69</v>
      </c>
      <c r="B69" s="189" t="str">
        <f>'Implementation Plan MASTER'!E57</f>
        <v>5.1.6</v>
      </c>
      <c r="C69" s="189" t="str">
        <f>'Implementation Plan MASTER'!F57</f>
        <v>Install communication internet access equipment and operational costs</v>
      </c>
      <c r="D69" s="190">
        <f>'Implementation Plan MASTER'!N57</f>
        <v>157.72513043478301</v>
      </c>
      <c r="E69" s="190">
        <f>'Implementation Plan V2 Sep25'!N31</f>
        <v>157.72513043478261</v>
      </c>
      <c r="F69" s="189" t="s">
        <v>632</v>
      </c>
      <c r="G69" s="189" t="s">
        <v>580</v>
      </c>
      <c r="H69" s="192">
        <v>46059</v>
      </c>
      <c r="I69" s="189"/>
      <c r="J69" s="189"/>
      <c r="K69" s="189"/>
      <c r="L69" s="189"/>
      <c r="M69" s="189" t="s">
        <v>582</v>
      </c>
      <c r="N69" s="189"/>
      <c r="O69" s="189"/>
    </row>
    <row r="70" spans="1:15" ht="42.75">
      <c r="A70" s="188">
        <v>70</v>
      </c>
      <c r="B70" s="189" t="str">
        <f>'Implementation Plan MASTER'!E58</f>
        <v>5.1.7</v>
      </c>
      <c r="C70" s="189" t="str">
        <f>'Implementation Plan MASTER'!F58</f>
        <v>Provide additional staff for warning communication and engagement to expand capacity</v>
      </c>
      <c r="D70" s="190">
        <f>'Implementation Plan MASTER'!N58</f>
        <v>163.262</v>
      </c>
      <c r="E70" s="190">
        <f>'Implementation Plan V2 Sep25'!N32</f>
        <v>163.262</v>
      </c>
      <c r="F70" s="189"/>
      <c r="G70" s="189" t="s">
        <v>580</v>
      </c>
      <c r="H70" s="192">
        <v>46059</v>
      </c>
      <c r="I70" s="189"/>
      <c r="J70" s="189"/>
      <c r="K70" s="189"/>
      <c r="L70" s="189"/>
      <c r="M70" s="189" t="s">
        <v>582</v>
      </c>
      <c r="N70" s="189"/>
      <c r="O70" s="189"/>
    </row>
    <row r="71" spans="1:15" ht="28.5">
      <c r="A71" s="188">
        <v>73</v>
      </c>
      <c r="B71" s="189" t="str">
        <f>'Implementation Plan MASTER'!E28</f>
        <v>3.2.1</v>
      </c>
      <c r="C71" s="189" t="str">
        <f>'Implementation Plan MASTER'!F28</f>
        <v>Establish and operate a Regional Instrument Centre (RIC)</v>
      </c>
      <c r="D71" s="190">
        <f>'Implementation Plan MASTER'!N28</f>
        <v>50.504347826086956</v>
      </c>
      <c r="E71" s="190">
        <f>'Implementation Plan V2 Sep25'!N35</f>
        <v>50.504347826086956</v>
      </c>
      <c r="F71" s="189"/>
      <c r="G71" s="189" t="s">
        <v>580</v>
      </c>
      <c r="H71" s="192">
        <v>46059</v>
      </c>
      <c r="I71" s="189"/>
      <c r="J71" s="189"/>
      <c r="K71" s="189"/>
      <c r="L71" s="189"/>
      <c r="M71" s="189" t="s">
        <v>582</v>
      </c>
      <c r="N71" s="189"/>
      <c r="O71" s="189"/>
    </row>
    <row r="72" spans="1:15" ht="71.25">
      <c r="A72" s="188">
        <v>75</v>
      </c>
      <c r="B72" s="189" t="str">
        <f>'Implementation Plan MASTER'!E30</f>
        <v>3.1.1</v>
      </c>
      <c r="C72" s="189" t="str">
        <f>'Implementation Plan MASTER'!F30</f>
        <v>Implement observation network plans, asset management, standardised infrastructure, data management and maintenance practices</v>
      </c>
      <c r="D72" s="190">
        <f>'Implementation Plan MASTER'!N30</f>
        <v>916.69899999999996</v>
      </c>
      <c r="E72" s="190">
        <f>'Implementation Plan V2 Sep25'!N37</f>
        <v>976.67</v>
      </c>
      <c r="F72" s="189" t="s">
        <v>633</v>
      </c>
      <c r="G72" s="189" t="s">
        <v>580</v>
      </c>
      <c r="H72" s="192">
        <v>46059</v>
      </c>
      <c r="I72" s="189"/>
      <c r="J72" s="189"/>
      <c r="K72" s="189"/>
      <c r="L72" s="189"/>
      <c r="M72" s="189" t="s">
        <v>582</v>
      </c>
      <c r="N72" s="189"/>
      <c r="O72" s="189"/>
    </row>
    <row r="73" spans="1:15" ht="57">
      <c r="A73" s="188">
        <v>77</v>
      </c>
      <c r="B73" s="189" t="str">
        <f>'Implementation Plan MASTER'!E32</f>
        <v>3.1.2</v>
      </c>
      <c r="C73" s="189" t="str">
        <f>'Implementation Plan MASTER'!F32</f>
        <v>Provide asset management and maintenance staff to expand capacity (e.g. SPREP, SPC, NMHS)</v>
      </c>
      <c r="D73" s="190">
        <f>'Implementation Plan MASTER'!N32</f>
        <v>1077.87995</v>
      </c>
      <c r="E73" s="190">
        <f>'Implementation Plan V2 Sep25'!N39</f>
        <v>1073.6395</v>
      </c>
      <c r="F73" s="189" t="s">
        <v>630</v>
      </c>
      <c r="G73" s="189" t="s">
        <v>580</v>
      </c>
      <c r="H73" s="192">
        <v>46059</v>
      </c>
      <c r="I73" s="189"/>
      <c r="J73" s="189"/>
      <c r="K73" s="189"/>
      <c r="L73" s="189"/>
      <c r="M73" s="189" t="s">
        <v>582</v>
      </c>
      <c r="N73" s="189"/>
      <c r="O73" s="189"/>
    </row>
    <row r="74" spans="1:15" ht="28.5">
      <c r="A74" s="188">
        <v>78</v>
      </c>
      <c r="B74" s="189" t="str">
        <f>'Implementation Plan MASTER'!E33</f>
        <v>3.1.3</v>
      </c>
      <c r="C74" s="189" t="str">
        <f>'Implementation Plan MASTER'!F33</f>
        <v xml:space="preserve">Revitalise and expand automatic and manual weather stations </v>
      </c>
      <c r="D74" s="190">
        <f>'Implementation Plan MASTER'!N33</f>
        <v>1484.971</v>
      </c>
      <c r="E74" s="190">
        <f>'Implementation Plan V2 Sep25'!N40</f>
        <v>1500</v>
      </c>
      <c r="F74" s="189"/>
      <c r="G74" s="189" t="s">
        <v>580</v>
      </c>
      <c r="H74" s="192">
        <v>46059</v>
      </c>
      <c r="I74" s="189"/>
      <c r="J74" s="189"/>
      <c r="K74" s="189"/>
      <c r="L74" s="189"/>
      <c r="M74" s="189" t="s">
        <v>582</v>
      </c>
      <c r="N74" s="189"/>
      <c r="O74" s="189"/>
    </row>
    <row r="75" spans="1:15" ht="28.5">
      <c r="A75" s="188">
        <v>79</v>
      </c>
      <c r="B75" s="189" t="str">
        <f>'Implementation Plan MASTER'!E34</f>
        <v>3.1.4</v>
      </c>
      <c r="C75" s="189" t="str">
        <f>'Implementation Plan MASTER'!F34</f>
        <v>Revitalise and expand river gauges and rain gauges</v>
      </c>
      <c r="D75" s="190">
        <f>'Implementation Plan MASTER'!N34</f>
        <v>0</v>
      </c>
      <c r="E75" s="190">
        <f>'Implementation Plan V2 Sep25'!N41</f>
        <v>0</v>
      </c>
      <c r="F75" s="189"/>
      <c r="G75" s="189" t="s">
        <v>580</v>
      </c>
      <c r="H75" s="192">
        <v>46059</v>
      </c>
      <c r="I75" s="189"/>
      <c r="J75" s="189"/>
      <c r="K75" s="189"/>
      <c r="L75" s="189"/>
      <c r="M75" s="189" t="s">
        <v>582</v>
      </c>
      <c r="N75" s="189"/>
      <c r="O75" s="189"/>
    </row>
    <row r="76" spans="1:15" ht="14.25">
      <c r="A76" s="188">
        <v>80</v>
      </c>
      <c r="B76" s="189" t="str">
        <f>'Implementation Plan MASTER'!E35</f>
        <v>3.1.5</v>
      </c>
      <c r="C76" s="189" t="str">
        <f>'Implementation Plan MASTER'!F35</f>
        <v>Establish weather watch radars</v>
      </c>
      <c r="D76" s="190">
        <f>'Implementation Plan MASTER'!N35</f>
        <v>8312.152</v>
      </c>
      <c r="E76" s="190">
        <f>'Implementation Plan V2 Sep25'!N42</f>
        <v>6962.152</v>
      </c>
      <c r="F76" s="189" t="s">
        <v>634</v>
      </c>
      <c r="G76" s="189" t="s">
        <v>580</v>
      </c>
      <c r="H76" s="192">
        <v>46059</v>
      </c>
      <c r="I76" s="189"/>
      <c r="J76" s="189"/>
      <c r="K76" s="189"/>
      <c r="L76" s="189"/>
      <c r="M76" s="189" t="s">
        <v>582</v>
      </c>
      <c r="N76" s="189"/>
      <c r="O76" s="189"/>
    </row>
    <row r="77" spans="1:15" ht="28.5">
      <c r="A77" s="188">
        <v>81</v>
      </c>
      <c r="B77" s="189" t="str">
        <f>'Implementation Plan MASTER'!E36</f>
        <v>3.1.6</v>
      </c>
      <c r="C77" s="189" t="str">
        <f>'Implementation Plan MASTER'!F36</f>
        <v>Revitalise and expand wave buoys</v>
      </c>
      <c r="D77" s="190">
        <f>'Implementation Plan MASTER'!N36</f>
        <v>0</v>
      </c>
      <c r="E77" s="190">
        <f>'Implementation Plan V2 Sep25'!N43</f>
        <v>0</v>
      </c>
      <c r="F77" s="189"/>
      <c r="G77" s="189" t="s">
        <v>580</v>
      </c>
      <c r="H77" s="192">
        <v>46059</v>
      </c>
      <c r="I77" s="189"/>
      <c r="J77" s="189"/>
      <c r="K77" s="189"/>
      <c r="L77" s="189"/>
      <c r="M77" s="189" t="s">
        <v>582</v>
      </c>
      <c r="N77" s="189"/>
      <c r="O77" s="189"/>
    </row>
    <row r="78" spans="1:15" ht="28.5">
      <c r="A78" s="188">
        <v>82</v>
      </c>
      <c r="B78" s="189" t="str">
        <f>'Implementation Plan MASTER'!E37</f>
        <v>3.1.7</v>
      </c>
      <c r="C78" s="189" t="str">
        <f>'Implementation Plan MASTER'!F37</f>
        <v>Revitalise and expand tide gauges</v>
      </c>
      <c r="D78" s="190">
        <f>'Implementation Plan MASTER'!N37</f>
        <v>0</v>
      </c>
      <c r="E78" s="190">
        <f>'Implementation Plan V2 Sep25'!N44</f>
        <v>0</v>
      </c>
      <c r="F78" s="189"/>
      <c r="G78" s="189" t="s">
        <v>580</v>
      </c>
      <c r="H78" s="192">
        <v>46059</v>
      </c>
      <c r="I78" s="189"/>
      <c r="J78" s="189"/>
      <c r="K78" s="189"/>
      <c r="L78" s="189"/>
      <c r="M78" s="189" t="s">
        <v>582</v>
      </c>
      <c r="N78" s="189"/>
      <c r="O78" s="189"/>
    </row>
    <row r="79" spans="1:15" ht="42.75">
      <c r="A79" s="188">
        <v>83</v>
      </c>
      <c r="B79" s="189" t="str">
        <f>'Implementation Plan MASTER'!E38</f>
        <v>3.1.8</v>
      </c>
      <c r="C79" s="189" t="str">
        <f>'Implementation Plan MASTER'!F38</f>
        <v>Revitalise and expand Meteorological balloon launching systems</v>
      </c>
      <c r="D79" s="190">
        <f>'Implementation Plan MASTER'!N38</f>
        <v>0</v>
      </c>
      <c r="E79" s="190">
        <f>'Implementation Plan V2 Sep25'!N45</f>
        <v>0</v>
      </c>
      <c r="F79" s="189"/>
      <c r="G79" s="189" t="s">
        <v>580</v>
      </c>
      <c r="H79" s="192">
        <v>46059</v>
      </c>
      <c r="I79" s="189"/>
      <c r="J79" s="189"/>
      <c r="K79" s="189"/>
      <c r="L79" s="189"/>
      <c r="M79" s="189" t="s">
        <v>582</v>
      </c>
      <c r="N79" s="189"/>
      <c r="O79" s="189"/>
    </row>
    <row r="80" spans="1:15" ht="42.75">
      <c r="A80" s="188">
        <v>84</v>
      </c>
      <c r="B80" s="189" t="str">
        <f>'Implementation Plan MASTER'!E39</f>
        <v>3.1.9</v>
      </c>
      <c r="C80" s="189" t="str">
        <f>'Implementation Plan MASTER'!F39</f>
        <v>Data capture from aircraft observation using the aircraft meteorological data relay system</v>
      </c>
      <c r="D80" s="190">
        <f>'Implementation Plan MASTER'!N39</f>
        <v>0</v>
      </c>
      <c r="E80" s="190">
        <f>'Implementation Plan V2 Sep25'!N46</f>
        <v>0</v>
      </c>
      <c r="F80" s="189"/>
      <c r="G80" s="189" t="s">
        <v>580</v>
      </c>
      <c r="H80" s="192">
        <v>46059</v>
      </c>
      <c r="I80" s="189"/>
      <c r="J80" s="189"/>
      <c r="K80" s="189"/>
      <c r="L80" s="189"/>
      <c r="M80" s="189" t="s">
        <v>582</v>
      </c>
      <c r="N80" s="189"/>
      <c r="O80" s="189"/>
    </row>
    <row r="81" spans="1:15" ht="28.5">
      <c r="A81" s="188">
        <v>87</v>
      </c>
      <c r="B81" s="189" t="str">
        <f>'Implementation Plan MASTER'!E16</f>
        <v>2.1.1</v>
      </c>
      <c r="C81" s="189" t="str">
        <f>'Implementation Plan MASTER'!F16</f>
        <v>Establish and operate a Regional Training Centre (RTC)</v>
      </c>
      <c r="D81" s="190">
        <f>'Implementation Plan MASTER'!N16</f>
        <v>224.22847999999999</v>
      </c>
      <c r="E81" s="190">
        <f>'Implementation Plan V2 Sep25'!N49</f>
        <v>237.9826086956522</v>
      </c>
      <c r="F81" s="189" t="s">
        <v>635</v>
      </c>
      <c r="G81" s="189" t="s">
        <v>580</v>
      </c>
      <c r="H81" s="192">
        <v>46059</v>
      </c>
      <c r="I81" s="189"/>
      <c r="J81" s="189"/>
      <c r="K81" s="189"/>
      <c r="L81" s="189"/>
      <c r="M81" s="189" t="s">
        <v>582</v>
      </c>
      <c r="N81" s="189"/>
      <c r="O81" s="189"/>
    </row>
    <row r="82" spans="1:15" ht="28.5">
      <c r="A82" s="188">
        <v>89</v>
      </c>
      <c r="B82" s="189" t="str">
        <f>'Implementation Plan MASTER'!E18</f>
        <v>2.2.1</v>
      </c>
      <c r="C82" s="189" t="str">
        <f>'Implementation Plan MASTER'!F18</f>
        <v>Training of forecasters to BIP-M standard</v>
      </c>
      <c r="D82" s="190">
        <f>'Implementation Plan MASTER'!N18</f>
        <v>811.59275000000002</v>
      </c>
      <c r="E82" s="190">
        <f>'Implementation Plan V2 Sep25'!N51</f>
        <v>811.59275000000002</v>
      </c>
      <c r="F82" s="189"/>
      <c r="G82" s="189" t="s">
        <v>580</v>
      </c>
      <c r="H82" s="192">
        <v>46059</v>
      </c>
      <c r="I82" s="189"/>
      <c r="J82" s="189"/>
      <c r="K82" s="189"/>
      <c r="L82" s="189"/>
      <c r="M82" s="189" t="s">
        <v>582</v>
      </c>
      <c r="N82" s="189"/>
      <c r="O82" s="189"/>
    </row>
    <row r="83" spans="1:15" ht="71.25">
      <c r="A83" s="188">
        <v>90</v>
      </c>
      <c r="B83" s="189" t="str">
        <f>'Implementation Plan MASTER'!E19</f>
        <v>2.2.2</v>
      </c>
      <c r="C83" s="189" t="str">
        <f>'Implementation Plan MASTER'!F19</f>
        <v>Training on specialised forecasting services, and assessment of competencies (e.g. marine, aviation, hydrology/ hydrography)</v>
      </c>
      <c r="D83" s="190">
        <f>'Implementation Plan MASTER'!N19</f>
        <v>110</v>
      </c>
      <c r="E83" s="190">
        <f>'Implementation Plan V2 Sep25'!N52</f>
        <v>160</v>
      </c>
      <c r="F83" s="189" t="s">
        <v>636</v>
      </c>
      <c r="G83" s="189" t="s">
        <v>580</v>
      </c>
      <c r="H83" s="192">
        <v>46059</v>
      </c>
      <c r="I83" s="189"/>
      <c r="J83" s="189"/>
      <c r="K83" s="189"/>
      <c r="L83" s="189"/>
      <c r="M83" s="189" t="s">
        <v>582</v>
      </c>
      <c r="N83" s="189"/>
      <c r="O83" s="189"/>
    </row>
    <row r="84" spans="1:15" ht="57">
      <c r="A84" s="188">
        <v>91</v>
      </c>
      <c r="B84" s="189" t="str">
        <f>'Implementation Plan MASTER'!E20</f>
        <v>2.2.3</v>
      </c>
      <c r="C84" s="189" t="str">
        <f>'Implementation Plan MASTER'!F20</f>
        <v>Training of observers, technicians and ICT specialists, and assessment of competencies</v>
      </c>
      <c r="D84" s="190">
        <f>'Implementation Plan MASTER'!N20</f>
        <v>271.84627695652171</v>
      </c>
      <c r="E84" s="190">
        <f>'Implementation Plan V2 Sep25'!N53</f>
        <v>295.6521739130435</v>
      </c>
      <c r="F84" s="189" t="s">
        <v>637</v>
      </c>
      <c r="G84" s="189" t="s">
        <v>580</v>
      </c>
      <c r="H84" s="192">
        <v>46059</v>
      </c>
      <c r="I84" s="189"/>
      <c r="J84" s="189"/>
      <c r="K84" s="189"/>
      <c r="L84" s="189"/>
      <c r="M84" s="189" t="s">
        <v>582</v>
      </c>
      <c r="N84" s="189"/>
      <c r="O84" s="189"/>
    </row>
    <row r="85" spans="1:15" ht="57">
      <c r="A85" s="188">
        <v>92</v>
      </c>
      <c r="B85" s="189" t="str">
        <f>'Implementation Plan MASTER'!E21</f>
        <v>2.2.4</v>
      </c>
      <c r="C85" s="189" t="str">
        <f>'Implementation Plan MASTER'!F21</f>
        <v>Establish and deliver a Pacific Meteorology Leadership Programme for mid and senior level staff</v>
      </c>
      <c r="D85" s="190">
        <f>'Implementation Plan MASTER'!N21</f>
        <v>135.13307304347802</v>
      </c>
      <c r="E85" s="190">
        <f>'Implementation Plan V2 Sep25'!N54</f>
        <v>135.17391304347828</v>
      </c>
      <c r="F85" s="189"/>
      <c r="G85" s="189" t="s">
        <v>580</v>
      </c>
      <c r="H85" s="192">
        <v>46059</v>
      </c>
      <c r="I85" s="189"/>
      <c r="J85" s="189"/>
      <c r="K85" s="189"/>
      <c r="L85" s="189"/>
      <c r="M85" s="189" t="s">
        <v>582</v>
      </c>
      <c r="N85" s="189"/>
      <c r="O85" s="189"/>
    </row>
    <row r="86" spans="1:15" ht="28.5">
      <c r="A86" s="188">
        <v>93</v>
      </c>
      <c r="B86" s="189" t="str">
        <f>'Implementation Plan MASTER'!E22</f>
        <v>2.2.5</v>
      </c>
      <c r="C86" s="189" t="str">
        <f>'Implementation Plan MASTER'!F22</f>
        <v>Specialised regional workshops and training courses</v>
      </c>
      <c r="D86" s="190">
        <f>'Implementation Plan MASTER'!N22</f>
        <v>163.89366485739131</v>
      </c>
      <c r="E86" s="190">
        <f>'Implementation Plan V2 Sep25'!N55</f>
        <v>207.45518371739135</v>
      </c>
      <c r="F86" s="189" t="s">
        <v>638</v>
      </c>
      <c r="G86" s="189" t="s">
        <v>580</v>
      </c>
      <c r="H86" s="192">
        <v>46059</v>
      </c>
      <c r="I86" s="189"/>
      <c r="J86" s="189"/>
      <c r="K86" s="189"/>
      <c r="L86" s="189"/>
      <c r="M86" s="189" t="s">
        <v>582</v>
      </c>
      <c r="N86" s="189"/>
      <c r="O86" s="189"/>
    </row>
    <row r="87" spans="1:15" ht="42.75">
      <c r="A87" s="188">
        <v>94</v>
      </c>
      <c r="B87" s="189" t="str">
        <f>'Implementation Plan MASTER'!E23</f>
        <v>2.2.6</v>
      </c>
      <c r="C87" s="189" t="str">
        <f>'Implementation Plan MASTER'!F23</f>
        <v>Provide additional staff for training and capacity development</v>
      </c>
      <c r="D87" s="190">
        <f>'Implementation Plan MASTER'!N23</f>
        <v>714.37422666666669</v>
      </c>
      <c r="E87" s="190">
        <f>'Implementation Plan V2 Sep25'!N56</f>
        <v>741.59386499999994</v>
      </c>
      <c r="F87" s="189" t="s">
        <v>639</v>
      </c>
      <c r="G87" s="189" t="s">
        <v>580</v>
      </c>
      <c r="H87" s="192">
        <v>46059</v>
      </c>
      <c r="I87" s="189"/>
      <c r="J87" s="189"/>
      <c r="K87" s="189"/>
      <c r="L87" s="189"/>
      <c r="M87" s="189" t="s">
        <v>582</v>
      </c>
      <c r="N87" s="189"/>
      <c r="O87" s="189"/>
    </row>
    <row r="88" spans="1:15" ht="42.75">
      <c r="A88" s="188">
        <v>96</v>
      </c>
      <c r="B88" s="189" t="str">
        <f>'Implementation Plan MASTER'!E25</f>
        <v>2.3.1</v>
      </c>
      <c r="C88" s="189" t="str">
        <f>'Implementation Plan MASTER'!F25</f>
        <v>Twinning programme, ongoing mentoring and communities of practices</v>
      </c>
      <c r="D88" s="190">
        <f>'Implementation Plan MASTER'!N25</f>
        <v>490.07100000000003</v>
      </c>
      <c r="E88" s="190">
        <f>'Implementation Plan V2 Sep25'!N58</f>
        <v>490.07100000000003</v>
      </c>
      <c r="F88" s="189"/>
      <c r="G88" s="189" t="s">
        <v>580</v>
      </c>
      <c r="H88" s="192">
        <v>46059</v>
      </c>
      <c r="I88" s="189"/>
      <c r="J88" s="189"/>
      <c r="K88" s="189"/>
      <c r="L88" s="189"/>
      <c r="M88" s="189" t="s">
        <v>582</v>
      </c>
      <c r="N88" s="189"/>
      <c r="O88" s="189"/>
    </row>
    <row r="89" spans="1:15" ht="29.25">
      <c r="A89" s="188">
        <v>103</v>
      </c>
      <c r="B89" s="189">
        <f>'Implementation Plan MASTER'!E65</f>
        <v>0</v>
      </c>
      <c r="C89" s="189" t="str">
        <f>'Implementation Plan MASTER'!F65</f>
        <v>Contingency and Other</v>
      </c>
      <c r="D89" s="190">
        <f>'Implementation Plan MASTER'!N65</f>
        <v>611.54084999999998</v>
      </c>
      <c r="E89" s="190">
        <f>'Implementation Plan V2 Sep25'!N65</f>
        <v>750</v>
      </c>
      <c r="F89" s="189" t="s">
        <v>640</v>
      </c>
      <c r="G89" s="189" t="s">
        <v>580</v>
      </c>
      <c r="H89" s="192">
        <v>46059</v>
      </c>
      <c r="I89" s="189"/>
      <c r="J89" s="189"/>
      <c r="K89" s="189"/>
      <c r="L89" s="189"/>
      <c r="M89" s="189" t="s">
        <v>582</v>
      </c>
      <c r="N89" s="189"/>
      <c r="O89" s="189"/>
    </row>
    <row r="90" spans="1:15" ht="28.5">
      <c r="A90" s="188">
        <v>104</v>
      </c>
      <c r="B90" s="189">
        <f>'Implementation Plan MASTER'!E66</f>
        <v>0</v>
      </c>
      <c r="C90" s="189" t="str">
        <f>'Implementation Plan MASTER'!F66</f>
        <v>GRAND TOTAL (excl. SPREP program fees)</v>
      </c>
      <c r="D90" s="190">
        <f>'Implementation Plan MASTER'!N66</f>
        <v>28459.990881132755</v>
      </c>
      <c r="E90" s="190">
        <f>'Implementation Plan V2 Sep25'!N66</f>
        <v>28611.608744871304</v>
      </c>
      <c r="F90" s="189" t="s">
        <v>641</v>
      </c>
      <c r="G90" s="189" t="s">
        <v>580</v>
      </c>
      <c r="H90" s="192">
        <v>46059</v>
      </c>
      <c r="I90" s="189"/>
      <c r="J90" s="189"/>
      <c r="K90" s="189"/>
      <c r="L90" s="189"/>
      <c r="M90" s="189" t="s">
        <v>582</v>
      </c>
      <c r="N90" s="189"/>
      <c r="O90" s="189"/>
    </row>
  </sheetData>
  <sheetProtection autoFilter="0"/>
  <autoFilter ref="A6:O6" xr:uid="{F7D1918A-6A41-47E6-8DC8-69097E2C21C6}"/>
  <mergeCells count="1">
    <mergeCell ref="E1:O1"/>
  </mergeCells>
  <pageMargins left="0.25" right="0.25" top="0.75" bottom="0.75" header="0.3" footer="0.3"/>
  <pageSetup fitToHeight="0"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68"/>
  <sheetViews>
    <sheetView topLeftCell="A54" workbookViewId="0">
      <selection activeCell="N65" sqref="N65:U65"/>
    </sheetView>
  </sheetViews>
  <sheetFormatPr defaultColWidth="8.5703125" defaultRowHeight="15" customHeight="1" outlineLevelCol="1"/>
  <cols>
    <col min="1" max="1" width="3" style="117" customWidth="1"/>
    <col min="2" max="2" width="2.7109375" style="88" customWidth="1"/>
    <col min="3" max="3" width="39.5703125" style="88" hidden="1" customWidth="1" outlineLevel="1"/>
    <col min="4" max="4" width="6.7109375" style="88" hidden="1" customWidth="1" outlineLevel="1"/>
    <col min="5" max="5" width="6.42578125" style="88" customWidth="1" collapsed="1"/>
    <col min="6" max="6" width="53.7109375" style="117" customWidth="1"/>
    <col min="7" max="7" width="15.42578125" style="1" hidden="1" customWidth="1" outlineLevel="1"/>
    <col min="8" max="8" width="14.42578125" style="1" hidden="1" customWidth="1" outlineLevel="1"/>
    <col min="9" max="9" width="15.5703125" style="1" customWidth="1" collapsed="1"/>
    <col min="10" max="10" width="1.7109375" style="1" customWidth="1"/>
    <col min="11" max="11" width="2.42578125" style="12" customWidth="1"/>
    <col min="12" max="12" width="8.5703125" style="27" hidden="1" customWidth="1" outlineLevel="1"/>
    <col min="13" max="13" width="14.28515625" style="35" hidden="1" customWidth="1" outlineLevel="1"/>
    <col min="14" max="14" width="17.42578125" style="1" customWidth="1" collapsed="1"/>
    <col min="15" max="15" width="2.28515625" style="1" customWidth="1"/>
    <col min="16" max="16" width="8" style="1" customWidth="1"/>
    <col min="17" max="17" width="10.85546875" style="1" customWidth="1"/>
    <col min="18" max="18" width="8.7109375" style="1" customWidth="1"/>
    <col min="19" max="19" width="7.7109375" style="1" customWidth="1"/>
    <col min="20" max="20" width="8.28515625" style="1" customWidth="1"/>
    <col min="21" max="22" width="8.5703125" style="1" customWidth="1"/>
    <col min="23" max="23" width="63.42578125" style="1" hidden="1" customWidth="1"/>
    <col min="24" max="24" width="40.42578125" style="1" hidden="1" customWidth="1"/>
    <col min="25" max="25" width="36.42578125" style="1" hidden="1" customWidth="1"/>
    <col min="26" max="26" width="15" style="1" customWidth="1"/>
    <col min="27" max="27" width="9.5703125" style="1" customWidth="1"/>
    <col min="28" max="28" width="13.5703125" style="1" customWidth="1"/>
    <col min="29" max="16384" width="8.5703125" style="1"/>
  </cols>
  <sheetData>
    <row r="1" spans="1:28" s="3" customFormat="1" ht="54.75" customHeight="1">
      <c r="A1" s="79" t="s">
        <v>0</v>
      </c>
      <c r="B1" s="50"/>
      <c r="C1" s="80"/>
      <c r="D1" s="80"/>
      <c r="E1" s="80"/>
      <c r="F1" s="79" t="s">
        <v>3</v>
      </c>
      <c r="G1" s="82" t="s">
        <v>4</v>
      </c>
      <c r="H1" s="82" t="s">
        <v>5</v>
      </c>
      <c r="I1" s="81" t="s">
        <v>6</v>
      </c>
      <c r="J1" s="82"/>
      <c r="K1" s="83"/>
      <c r="L1" s="84" t="s">
        <v>7</v>
      </c>
      <c r="M1" s="85" t="s">
        <v>8</v>
      </c>
      <c r="N1" s="81" t="s">
        <v>9</v>
      </c>
      <c r="O1" s="79"/>
      <c r="P1" s="133">
        <v>2024</v>
      </c>
      <c r="Q1" s="81">
        <v>2025</v>
      </c>
      <c r="R1" s="81">
        <v>2026</v>
      </c>
      <c r="S1" s="81">
        <v>2027</v>
      </c>
      <c r="T1" s="81">
        <v>2028</v>
      </c>
      <c r="U1" s="81">
        <v>2029</v>
      </c>
      <c r="W1" s="1" t="s">
        <v>12</v>
      </c>
      <c r="X1" s="1" t="s">
        <v>642</v>
      </c>
      <c r="Y1" s="1" t="s">
        <v>643</v>
      </c>
    </row>
    <row r="2" spans="1:28" ht="17.25">
      <c r="A2" s="148" t="s">
        <v>644</v>
      </c>
      <c r="B2" s="125"/>
      <c r="C2" s="125"/>
      <c r="D2" s="125"/>
      <c r="E2" s="125"/>
      <c r="F2" s="126"/>
      <c r="G2" s="127">
        <f>SUM(G4:G13)</f>
        <v>2340000</v>
      </c>
      <c r="H2" s="127">
        <f t="shared" ref="H2" si="0">SUM(H4:H13)</f>
        <v>10150000</v>
      </c>
      <c r="I2" s="128">
        <f>SUM(I4:I13)</f>
        <v>20310</v>
      </c>
      <c r="J2" s="129"/>
      <c r="K2" s="8"/>
      <c r="L2" s="25"/>
      <c r="M2" s="52"/>
      <c r="N2" s="130">
        <v>8056.944131119566</v>
      </c>
      <c r="O2" s="130" t="s">
        <v>645</v>
      </c>
      <c r="P2" s="131">
        <v>1523.4841637681156</v>
      </c>
      <c r="Q2" s="130">
        <v>1307.3733806123187</v>
      </c>
      <c r="R2" s="130">
        <v>1537.3845867391303</v>
      </c>
      <c r="S2" s="130">
        <v>1351.588</v>
      </c>
      <c r="T2" s="130">
        <v>1198.557</v>
      </c>
      <c r="U2" s="132">
        <v>1138.557</v>
      </c>
      <c r="V2" s="123"/>
      <c r="AA2" s="75"/>
      <c r="AB2" s="3"/>
    </row>
    <row r="3" spans="1:28" ht="54" customHeight="1">
      <c r="A3" s="86"/>
      <c r="B3" s="269" t="s">
        <v>14</v>
      </c>
      <c r="C3" s="269"/>
      <c r="D3" s="269"/>
      <c r="E3" s="269"/>
      <c r="F3" s="269"/>
      <c r="G3" s="269"/>
      <c r="H3" s="269"/>
      <c r="I3" s="269"/>
      <c r="J3" s="269"/>
      <c r="K3" s="8"/>
      <c r="L3" s="25"/>
      <c r="M3" s="52"/>
      <c r="N3" s="124"/>
      <c r="O3" s="5"/>
      <c r="P3" s="134"/>
      <c r="Q3" s="124"/>
      <c r="R3" s="124"/>
      <c r="S3" s="124"/>
      <c r="T3" s="124"/>
      <c r="U3" s="124"/>
      <c r="AA3" s="3"/>
      <c r="AB3" s="3"/>
    </row>
    <row r="4" spans="1:28" ht="33.75" customHeight="1">
      <c r="A4" s="87">
        <v>1</v>
      </c>
      <c r="B4" s="271"/>
      <c r="C4" s="89" t="str">
        <f>$B$3</f>
        <v>Output 1.1 WRP governance, management and financing mechanisms established, mandated and equipped to coordinate a Pacific-led, integrated, and sustainable programme</v>
      </c>
      <c r="D4" s="90">
        <v>11</v>
      </c>
      <c r="E4" s="90" t="s">
        <v>15</v>
      </c>
      <c r="F4" s="91" t="s">
        <v>16</v>
      </c>
      <c r="G4" s="74">
        <v>550000</v>
      </c>
      <c r="H4" s="74">
        <v>550000</v>
      </c>
      <c r="I4" s="122">
        <f>550000/1000</f>
        <v>550</v>
      </c>
      <c r="J4" s="74"/>
      <c r="K4" s="6"/>
      <c r="L4" s="26"/>
      <c r="M4" s="51"/>
      <c r="N4" s="9">
        <v>356.02608695652174</v>
      </c>
      <c r="O4" s="5"/>
      <c r="P4" s="71">
        <v>0</v>
      </c>
      <c r="Q4" s="9">
        <v>256.02608695652174</v>
      </c>
      <c r="R4" s="9">
        <v>100</v>
      </c>
      <c r="S4" s="9">
        <v>0</v>
      </c>
      <c r="T4" s="9">
        <v>0</v>
      </c>
      <c r="U4" s="9">
        <v>0</v>
      </c>
      <c r="W4" s="1" t="s">
        <v>17</v>
      </c>
      <c r="AA4" s="3"/>
      <c r="AB4" s="3"/>
    </row>
    <row r="5" spans="1:28" ht="23.25" customHeight="1">
      <c r="A5" s="87">
        <v>1</v>
      </c>
      <c r="B5" s="271"/>
      <c r="C5" s="89" t="str">
        <f t="shared" ref="C5:C8" si="1">$B$3</f>
        <v>Output 1.1 WRP governance, management and financing mechanisms established, mandated and equipped to coordinate a Pacific-led, integrated, and sustainable programme</v>
      </c>
      <c r="D5" s="92">
        <v>12</v>
      </c>
      <c r="E5" s="92" t="s">
        <v>18</v>
      </c>
      <c r="F5" s="93" t="s">
        <v>646</v>
      </c>
      <c r="G5" s="43">
        <v>300000</v>
      </c>
      <c r="H5" s="43">
        <v>880000</v>
      </c>
      <c r="I5" s="122">
        <f>1470000/1000</f>
        <v>1470</v>
      </c>
      <c r="J5" s="43"/>
      <c r="K5" s="6"/>
      <c r="L5" s="26"/>
      <c r="M5" s="51"/>
      <c r="N5" s="9">
        <v>2621.8450072463766</v>
      </c>
      <c r="O5" s="5"/>
      <c r="P5" s="71">
        <v>1441.4479637681156</v>
      </c>
      <c r="Q5" s="9">
        <v>344.09852173913043</v>
      </c>
      <c r="R5" s="9">
        <v>379.06752173913043</v>
      </c>
      <c r="S5" s="9">
        <v>224.43100000000001</v>
      </c>
      <c r="T5" s="9">
        <v>146.4</v>
      </c>
      <c r="U5" s="9">
        <v>86.4</v>
      </c>
      <c r="W5" s="1" t="s">
        <v>20</v>
      </c>
    </row>
    <row r="6" spans="1:28" ht="23.25" customHeight="1">
      <c r="A6" s="87">
        <v>1</v>
      </c>
      <c r="B6" s="271"/>
      <c r="C6" s="89" t="str">
        <f t="shared" si="1"/>
        <v>Output 1.1 WRP governance, management and financing mechanisms established, mandated and equipped to coordinate a Pacific-led, integrated, and sustainable programme</v>
      </c>
      <c r="D6" s="92">
        <v>13</v>
      </c>
      <c r="E6" s="92" t="s">
        <v>21</v>
      </c>
      <c r="F6" s="94" t="s">
        <v>22</v>
      </c>
      <c r="G6" s="43" t="s">
        <v>23</v>
      </c>
      <c r="H6" s="43" t="s">
        <v>23</v>
      </c>
      <c r="I6" s="43" t="s">
        <v>23</v>
      </c>
      <c r="J6" s="43"/>
      <c r="K6" s="6"/>
      <c r="L6" s="26"/>
      <c r="M6" s="51"/>
      <c r="N6" s="9">
        <v>132.94800000000001</v>
      </c>
      <c r="O6" s="5"/>
      <c r="P6" s="71">
        <v>0</v>
      </c>
      <c r="Q6" s="9">
        <v>57.948</v>
      </c>
      <c r="R6" s="9">
        <v>0</v>
      </c>
      <c r="S6" s="9">
        <v>75</v>
      </c>
      <c r="T6" s="9">
        <v>0</v>
      </c>
      <c r="U6" s="9">
        <v>0</v>
      </c>
      <c r="W6" s="1" t="s">
        <v>24</v>
      </c>
    </row>
    <row r="7" spans="1:28" ht="41.25" customHeight="1">
      <c r="A7" s="87">
        <v>1</v>
      </c>
      <c r="B7" s="271"/>
      <c r="C7" s="89" t="str">
        <f t="shared" si="1"/>
        <v>Output 1.1 WRP governance, management and financing mechanisms established, mandated and equipped to coordinate a Pacific-led, integrated, and sustainable programme</v>
      </c>
      <c r="D7" s="92">
        <v>14</v>
      </c>
      <c r="E7" s="95" t="s">
        <v>25</v>
      </c>
      <c r="F7" s="94" t="s">
        <v>26</v>
      </c>
      <c r="G7" s="43">
        <v>1490000</v>
      </c>
      <c r="H7" s="43">
        <v>8720000</v>
      </c>
      <c r="I7" s="122">
        <f>18290000/1000</f>
        <v>18290</v>
      </c>
      <c r="J7" s="43"/>
      <c r="K7" s="6"/>
      <c r="L7" s="26"/>
      <c r="M7" s="51"/>
      <c r="N7" s="9">
        <v>4725.1276166666676</v>
      </c>
      <c r="O7" s="5"/>
      <c r="P7" s="71">
        <v>82.036199999999994</v>
      </c>
      <c r="Q7" s="9">
        <v>434.46341666666666</v>
      </c>
      <c r="R7" s="9">
        <v>1052.1569999999999</v>
      </c>
      <c r="S7" s="9">
        <v>1052.1569999999999</v>
      </c>
      <c r="T7" s="9">
        <v>1052.1569999999999</v>
      </c>
      <c r="U7" s="9">
        <v>1052.1569999999999</v>
      </c>
      <c r="W7" s="1" t="s">
        <v>27</v>
      </c>
    </row>
    <row r="8" spans="1:28" ht="35.25" customHeight="1">
      <c r="A8" s="87">
        <v>1</v>
      </c>
      <c r="B8" s="272"/>
      <c r="C8" s="89" t="str">
        <f t="shared" si="1"/>
        <v>Output 1.1 WRP governance, management and financing mechanisms established, mandated and equipped to coordinate a Pacific-led, integrated, and sustainable programme</v>
      </c>
      <c r="D8" s="92">
        <v>16</v>
      </c>
      <c r="E8" s="96" t="s">
        <v>28</v>
      </c>
      <c r="F8" s="97" t="s">
        <v>29</v>
      </c>
      <c r="G8" s="43" t="s">
        <v>30</v>
      </c>
      <c r="H8" s="43" t="s">
        <v>30</v>
      </c>
      <c r="I8" s="43" t="s">
        <v>30</v>
      </c>
      <c r="J8" s="43"/>
      <c r="K8" s="6"/>
      <c r="L8" s="26"/>
      <c r="M8" s="51"/>
      <c r="N8" s="9">
        <v>0</v>
      </c>
      <c r="O8" s="5"/>
      <c r="P8" s="71">
        <v>0</v>
      </c>
      <c r="Q8" s="9">
        <v>0</v>
      </c>
      <c r="R8" s="9">
        <v>0</v>
      </c>
      <c r="S8" s="9">
        <v>0</v>
      </c>
      <c r="T8" s="9">
        <v>0</v>
      </c>
      <c r="U8" s="9">
        <v>0</v>
      </c>
      <c r="W8" s="1" t="s">
        <v>31</v>
      </c>
    </row>
    <row r="9" spans="1:28" ht="36" customHeight="1">
      <c r="A9" s="87">
        <v>1</v>
      </c>
      <c r="B9" s="270" t="s">
        <v>32</v>
      </c>
      <c r="C9" s="270"/>
      <c r="D9" s="270"/>
      <c r="E9" s="270"/>
      <c r="F9" s="270"/>
      <c r="G9" s="270"/>
      <c r="H9" s="270"/>
      <c r="I9" s="270"/>
      <c r="J9" s="73"/>
      <c r="K9" s="6"/>
      <c r="L9" s="26"/>
      <c r="M9" s="51"/>
      <c r="N9" s="9"/>
      <c r="O9" s="5"/>
      <c r="P9" s="71"/>
      <c r="Q9" s="9"/>
      <c r="R9" s="9"/>
      <c r="S9" s="9"/>
      <c r="T9" s="9"/>
      <c r="U9" s="9"/>
    </row>
    <row r="10" spans="1:28" ht="35.25" customHeight="1">
      <c r="A10" s="87">
        <v>1</v>
      </c>
      <c r="B10" s="98"/>
      <c r="C10" s="99" t="str">
        <f>B9</f>
        <v>Output 1.2 Sustainable hydrometerological financing facility and resource mobilisation approach established and operational</v>
      </c>
      <c r="D10" s="92">
        <v>17</v>
      </c>
      <c r="E10" s="96" t="s">
        <v>33</v>
      </c>
      <c r="F10" s="100" t="s">
        <v>34</v>
      </c>
      <c r="G10" s="43" t="s">
        <v>30</v>
      </c>
      <c r="H10" s="43" t="s">
        <v>30</v>
      </c>
      <c r="I10" s="43" t="s">
        <v>30</v>
      </c>
      <c r="J10" s="43"/>
      <c r="K10" s="6"/>
      <c r="L10" s="26"/>
      <c r="M10" s="51"/>
      <c r="N10" s="9">
        <v>0</v>
      </c>
      <c r="O10" s="5"/>
      <c r="P10" s="71">
        <v>0</v>
      </c>
      <c r="Q10" s="9">
        <v>0</v>
      </c>
      <c r="R10" s="9">
        <v>0</v>
      </c>
      <c r="S10" s="9">
        <v>0</v>
      </c>
      <c r="T10" s="9">
        <v>0</v>
      </c>
      <c r="U10" s="9">
        <v>0</v>
      </c>
    </row>
    <row r="11" spans="1:28" ht="36.75" customHeight="1">
      <c r="A11" s="87">
        <v>1</v>
      </c>
      <c r="B11" s="270" t="s">
        <v>35</v>
      </c>
      <c r="C11" s="270"/>
      <c r="D11" s="270"/>
      <c r="E11" s="270"/>
      <c r="F11" s="270"/>
      <c r="G11" s="270"/>
      <c r="H11" s="270"/>
      <c r="I11" s="270"/>
      <c r="J11" s="73"/>
      <c r="K11" s="6"/>
      <c r="L11" s="26"/>
      <c r="M11" s="51"/>
      <c r="N11" s="9"/>
      <c r="O11" s="5"/>
      <c r="P11" s="71"/>
      <c r="Q11" s="9"/>
      <c r="R11" s="9"/>
      <c r="S11" s="9"/>
      <c r="T11" s="9"/>
      <c r="U11" s="9"/>
    </row>
    <row r="12" spans="1:28" ht="24.75" customHeight="1">
      <c r="A12" s="87">
        <v>1</v>
      </c>
      <c r="B12" s="267"/>
      <c r="C12" s="98" t="str">
        <f>B11</f>
        <v>Output 1.3 Transformative GEDSI strategy adopted and integrated across governance, management and partner programming</v>
      </c>
      <c r="D12" s="102">
        <v>81</v>
      </c>
      <c r="E12" s="103" t="s">
        <v>36</v>
      </c>
      <c r="F12" s="104" t="s">
        <v>37</v>
      </c>
      <c r="G12" s="43" t="s">
        <v>23</v>
      </c>
      <c r="H12" s="43" t="s">
        <v>23</v>
      </c>
      <c r="I12" s="43" t="s">
        <v>23</v>
      </c>
      <c r="J12" s="43"/>
      <c r="K12" s="6"/>
      <c r="L12" s="26"/>
      <c r="M12" s="51"/>
      <c r="N12" s="9">
        <v>220.99742025</v>
      </c>
      <c r="O12" s="5"/>
      <c r="P12" s="71">
        <v>0</v>
      </c>
      <c r="Q12" s="9">
        <v>214.83735525000003</v>
      </c>
      <c r="R12" s="9">
        <v>6.1600650000000003</v>
      </c>
      <c r="S12" s="9">
        <v>0</v>
      </c>
      <c r="T12" s="9">
        <v>0</v>
      </c>
      <c r="U12" s="9">
        <v>0</v>
      </c>
      <c r="W12" s="1" t="s">
        <v>31</v>
      </c>
    </row>
    <row r="13" spans="1:28" ht="38.25" customHeight="1">
      <c r="A13" s="87">
        <v>1</v>
      </c>
      <c r="B13" s="268"/>
      <c r="C13" s="101" t="str">
        <f>B11</f>
        <v>Output 1.3 Transformative GEDSI strategy adopted and integrated across governance, management and partner programming</v>
      </c>
      <c r="D13" s="112">
        <v>82</v>
      </c>
      <c r="E13" s="112" t="s">
        <v>38</v>
      </c>
      <c r="F13" s="97" t="s">
        <v>39</v>
      </c>
      <c r="G13" s="78" t="s">
        <v>30</v>
      </c>
      <c r="H13" s="78" t="s">
        <v>30</v>
      </c>
      <c r="I13" s="78" t="s">
        <v>30</v>
      </c>
      <c r="J13" s="78"/>
      <c r="K13" s="6"/>
      <c r="L13" s="26"/>
      <c r="M13" s="51"/>
      <c r="N13" s="9">
        <v>0</v>
      </c>
      <c r="O13" s="5"/>
      <c r="P13" s="71">
        <v>0</v>
      </c>
      <c r="Q13" s="9">
        <v>0</v>
      </c>
      <c r="R13" s="9">
        <v>0</v>
      </c>
      <c r="S13" s="9">
        <v>0</v>
      </c>
      <c r="T13" s="9">
        <v>0</v>
      </c>
      <c r="U13" s="9">
        <v>0</v>
      </c>
    </row>
    <row r="14" spans="1:28" ht="17.25">
      <c r="A14" s="105" t="s">
        <v>647</v>
      </c>
      <c r="B14" s="125"/>
      <c r="C14" s="125"/>
      <c r="D14" s="125"/>
      <c r="E14" s="125"/>
      <c r="F14" s="125"/>
      <c r="G14" s="135">
        <f>SUM(G16:G23)</f>
        <v>300000</v>
      </c>
      <c r="H14" s="135">
        <f>SUM(H16:H23)</f>
        <v>9000000</v>
      </c>
      <c r="I14" s="136">
        <f>SUM(I16:I23)</f>
        <v>45760</v>
      </c>
      <c r="J14" s="76"/>
      <c r="K14" s="8"/>
      <c r="L14" s="25"/>
      <c r="M14" s="53"/>
      <c r="N14" s="130">
        <v>5535.9374617391304</v>
      </c>
      <c r="O14" s="130" t="s">
        <v>645</v>
      </c>
      <c r="P14" s="131">
        <v>386.34893999999997</v>
      </c>
      <c r="Q14" s="130">
        <v>1550.4872500000001</v>
      </c>
      <c r="R14" s="130">
        <v>1416.8912717391304</v>
      </c>
      <c r="S14" s="130">
        <v>1042.21</v>
      </c>
      <c r="T14" s="130">
        <v>970</v>
      </c>
      <c r="U14" s="130">
        <v>170</v>
      </c>
    </row>
    <row r="15" spans="1:28" ht="39.75" customHeight="1">
      <c r="A15" s="86"/>
      <c r="B15" s="269" t="s">
        <v>98</v>
      </c>
      <c r="C15" s="269"/>
      <c r="D15" s="269"/>
      <c r="E15" s="269"/>
      <c r="F15" s="269"/>
      <c r="G15" s="269"/>
      <c r="H15" s="269"/>
      <c r="I15" s="269"/>
      <c r="J15" s="137"/>
      <c r="K15" s="8"/>
      <c r="L15" s="25"/>
      <c r="M15" s="53"/>
      <c r="N15" s="124"/>
      <c r="O15" s="5"/>
      <c r="P15" s="134"/>
      <c r="Q15" s="124"/>
      <c r="R15" s="124"/>
      <c r="S15" s="124"/>
      <c r="T15" s="124"/>
      <c r="U15" s="124"/>
    </row>
    <row r="16" spans="1:28" ht="39" customHeight="1">
      <c r="A16" s="87">
        <v>4</v>
      </c>
      <c r="B16" s="98"/>
      <c r="C16" s="99" t="str">
        <f>$B$15</f>
        <v>Output 4.1 An integrated Pacific forecasting platform established and operating sustainably to global standards</v>
      </c>
      <c r="D16" s="92">
        <v>41</v>
      </c>
      <c r="E16" s="92" t="s">
        <v>99</v>
      </c>
      <c r="F16" s="94" t="s">
        <v>648</v>
      </c>
      <c r="G16" s="43">
        <v>100000</v>
      </c>
      <c r="H16" s="43">
        <f>100000+200000+700000</f>
        <v>1000000</v>
      </c>
      <c r="I16" s="122">
        <f>(11000000+7220000)/1000</f>
        <v>18220</v>
      </c>
      <c r="J16" s="43"/>
      <c r="K16" s="8"/>
      <c r="L16" s="26"/>
      <c r="M16" s="51"/>
      <c r="N16" s="9">
        <v>2557.1914617391303</v>
      </c>
      <c r="O16" s="5"/>
      <c r="P16" s="71">
        <v>55.234940000000002</v>
      </c>
      <c r="Q16" s="9">
        <v>105</v>
      </c>
      <c r="R16" s="9">
        <v>796.95652173913049</v>
      </c>
      <c r="S16" s="9">
        <v>800</v>
      </c>
      <c r="T16" s="9">
        <v>800</v>
      </c>
      <c r="U16" s="9">
        <v>0</v>
      </c>
      <c r="W16" s="2" t="s">
        <v>101</v>
      </c>
      <c r="X16" s="2"/>
      <c r="Y16" s="2"/>
    </row>
    <row r="17" spans="1:25" ht="21" customHeight="1">
      <c r="A17" s="87">
        <v>1</v>
      </c>
      <c r="B17" s="270" t="s">
        <v>102</v>
      </c>
      <c r="C17" s="270"/>
      <c r="D17" s="270"/>
      <c r="E17" s="270"/>
      <c r="F17" s="270"/>
      <c r="G17" s="270"/>
      <c r="H17" s="270"/>
      <c r="I17" s="270"/>
      <c r="J17" s="73"/>
      <c r="K17" s="8"/>
      <c r="L17" s="26"/>
      <c r="M17" s="51"/>
      <c r="N17" s="9"/>
      <c r="O17" s="5"/>
      <c r="P17" s="71"/>
      <c r="Q17" s="9"/>
      <c r="R17" s="9"/>
      <c r="S17" s="9"/>
      <c r="T17" s="9"/>
      <c r="U17" s="9"/>
      <c r="W17" s="2"/>
      <c r="X17" s="2"/>
      <c r="Y17" s="2"/>
    </row>
    <row r="18" spans="1:25" ht="21" customHeight="1">
      <c r="A18" s="87">
        <v>4</v>
      </c>
      <c r="B18" s="267"/>
      <c r="C18" s="99" t="str">
        <f>$B$17</f>
        <v>OP4.2 Pacific forecasting capacity expanded and maintained</v>
      </c>
      <c r="D18" s="92">
        <v>42</v>
      </c>
      <c r="E18" s="92" t="s">
        <v>103</v>
      </c>
      <c r="F18" s="93" t="s">
        <v>104</v>
      </c>
      <c r="G18" s="43"/>
      <c r="H18" s="43"/>
      <c r="I18" s="122">
        <f>1980000/1000</f>
        <v>1980</v>
      </c>
      <c r="J18" s="43"/>
      <c r="K18" s="8"/>
      <c r="L18" s="26"/>
      <c r="M18" s="51"/>
      <c r="N18" s="9">
        <v>30</v>
      </c>
      <c r="O18" s="5"/>
      <c r="P18" s="71">
        <v>0</v>
      </c>
      <c r="Q18" s="9">
        <v>0</v>
      </c>
      <c r="R18" s="9">
        <v>30</v>
      </c>
      <c r="S18" s="9">
        <v>0</v>
      </c>
      <c r="T18" s="9">
        <v>0</v>
      </c>
      <c r="U18" s="9">
        <v>0</v>
      </c>
      <c r="W18" s="1" t="s">
        <v>105</v>
      </c>
    </row>
    <row r="19" spans="1:25" ht="24" customHeight="1">
      <c r="A19" s="87">
        <v>4</v>
      </c>
      <c r="B19" s="268"/>
      <c r="C19" s="99" t="str">
        <f t="shared" ref="C19:C23" si="2">$B$17</f>
        <v>OP4.2 Pacific forecasting capacity expanded and maintained</v>
      </c>
      <c r="D19" s="92">
        <v>43</v>
      </c>
      <c r="E19" s="92" t="s">
        <v>106</v>
      </c>
      <c r="F19" s="93" t="s">
        <v>107</v>
      </c>
      <c r="G19" s="43"/>
      <c r="H19" s="43"/>
      <c r="I19" s="122">
        <f>6930000/1000</f>
        <v>6930</v>
      </c>
      <c r="J19" s="43"/>
      <c r="K19" s="8"/>
      <c r="L19" s="26"/>
      <c r="M19" s="51"/>
      <c r="N19" s="9">
        <v>597.64700000000005</v>
      </c>
      <c r="O19" s="5"/>
      <c r="P19" s="71">
        <v>331.11399999999998</v>
      </c>
      <c r="Q19" s="9">
        <v>266.53300000000002</v>
      </c>
      <c r="R19" s="9">
        <v>0</v>
      </c>
      <c r="S19" s="9">
        <v>0</v>
      </c>
      <c r="T19" s="9">
        <v>0</v>
      </c>
      <c r="U19" s="9">
        <v>0</v>
      </c>
    </row>
    <row r="20" spans="1:25" ht="24" customHeight="1">
      <c r="A20" s="87">
        <v>4</v>
      </c>
      <c r="B20" s="268"/>
      <c r="C20" s="99" t="str">
        <f t="shared" si="2"/>
        <v>OP4.2 Pacific forecasting capacity expanded and maintained</v>
      </c>
      <c r="D20" s="92">
        <v>44</v>
      </c>
      <c r="E20" s="92" t="s">
        <v>108</v>
      </c>
      <c r="F20" s="93" t="s">
        <v>109</v>
      </c>
      <c r="G20" s="43"/>
      <c r="H20" s="43"/>
      <c r="I20" s="43" t="s">
        <v>23</v>
      </c>
      <c r="J20" s="43"/>
      <c r="K20" s="8"/>
      <c r="L20" s="26"/>
      <c r="M20" s="51"/>
      <c r="N20" s="9">
        <v>0</v>
      </c>
      <c r="O20" s="5"/>
      <c r="P20" s="71">
        <v>0</v>
      </c>
      <c r="Q20" s="9">
        <v>0</v>
      </c>
      <c r="R20" s="9">
        <v>0</v>
      </c>
      <c r="S20" s="9">
        <v>0</v>
      </c>
      <c r="T20" s="9">
        <v>0</v>
      </c>
      <c r="U20" s="9">
        <v>0</v>
      </c>
      <c r="W20" s="1" t="s">
        <v>110</v>
      </c>
    </row>
    <row r="21" spans="1:25" ht="22.5" customHeight="1">
      <c r="A21" s="87">
        <v>4</v>
      </c>
      <c r="B21" s="268"/>
      <c r="C21" s="99" t="str">
        <f t="shared" si="2"/>
        <v>OP4.2 Pacific forecasting capacity expanded and maintained</v>
      </c>
      <c r="D21" s="92">
        <v>45</v>
      </c>
      <c r="E21" s="92" t="s">
        <v>111</v>
      </c>
      <c r="F21" s="94" t="s">
        <v>649</v>
      </c>
      <c r="G21" s="43">
        <v>200000</v>
      </c>
      <c r="H21" s="44">
        <v>4900000</v>
      </c>
      <c r="I21" s="122">
        <f>12250000/1000</f>
        <v>12250</v>
      </c>
      <c r="J21" s="43"/>
      <c r="K21" s="8"/>
      <c r="L21" s="26"/>
      <c r="M21" s="51"/>
      <c r="N21" s="9">
        <v>1191.1865</v>
      </c>
      <c r="O21" s="5"/>
      <c r="P21" s="71">
        <v>0</v>
      </c>
      <c r="Q21" s="9">
        <v>965.56650000000002</v>
      </c>
      <c r="R21" s="9">
        <v>153.41</v>
      </c>
      <c r="S21" s="9">
        <v>72.209999999999994</v>
      </c>
      <c r="T21" s="9">
        <v>0</v>
      </c>
      <c r="U21" s="9">
        <v>0</v>
      </c>
      <c r="W21" s="1" t="s">
        <v>113</v>
      </c>
      <c r="Y21" s="66" t="s">
        <v>650</v>
      </c>
    </row>
    <row r="22" spans="1:25" ht="34.5" customHeight="1">
      <c r="A22" s="87">
        <v>4</v>
      </c>
      <c r="B22" s="268"/>
      <c r="C22" s="99" t="str">
        <f t="shared" si="2"/>
        <v>OP4.2 Pacific forecasting capacity expanded and maintained</v>
      </c>
      <c r="D22" s="92">
        <v>46</v>
      </c>
      <c r="E22" s="92" t="s">
        <v>114</v>
      </c>
      <c r="F22" s="94" t="s">
        <v>651</v>
      </c>
      <c r="G22" s="43"/>
      <c r="H22" s="44" t="s">
        <v>23</v>
      </c>
      <c r="I22" s="43" t="s">
        <v>23</v>
      </c>
      <c r="J22" s="43"/>
      <c r="K22" s="8"/>
      <c r="L22" s="26"/>
      <c r="M22" s="51"/>
      <c r="N22" s="9">
        <v>92.973749999999995</v>
      </c>
      <c r="O22" s="5"/>
      <c r="P22" s="71">
        <v>0</v>
      </c>
      <c r="Q22" s="9">
        <v>0</v>
      </c>
      <c r="R22" s="9">
        <v>92.973749999999995</v>
      </c>
      <c r="S22" s="9">
        <v>0</v>
      </c>
      <c r="T22" s="9">
        <v>0</v>
      </c>
      <c r="U22" s="9">
        <v>0</v>
      </c>
      <c r="W22" s="1" t="s">
        <v>116</v>
      </c>
    </row>
    <row r="23" spans="1:25" ht="39.75" customHeight="1">
      <c r="A23" s="87">
        <v>4</v>
      </c>
      <c r="B23" s="268"/>
      <c r="C23" s="111" t="str">
        <f t="shared" si="2"/>
        <v>OP4.2 Pacific forecasting capacity expanded and maintained</v>
      </c>
      <c r="D23" s="95">
        <v>47</v>
      </c>
      <c r="E23" s="95" t="s">
        <v>117</v>
      </c>
      <c r="F23" s="145" t="s">
        <v>652</v>
      </c>
      <c r="G23" s="78" t="s">
        <v>119</v>
      </c>
      <c r="H23" s="78">
        <f>3100000</f>
        <v>3100000</v>
      </c>
      <c r="I23" s="138">
        <f>6380000/1000</f>
        <v>6380</v>
      </c>
      <c r="J23" s="78"/>
      <c r="K23" s="8"/>
      <c r="L23" s="26"/>
      <c r="M23" s="51"/>
      <c r="N23" s="58">
        <v>1066.93875</v>
      </c>
      <c r="O23" s="5"/>
      <c r="P23" s="72">
        <v>0</v>
      </c>
      <c r="Q23" s="58">
        <v>213.38775000000001</v>
      </c>
      <c r="R23" s="58">
        <v>343.55099999999999</v>
      </c>
      <c r="S23" s="58">
        <v>170</v>
      </c>
      <c r="T23" s="58">
        <v>170</v>
      </c>
      <c r="U23" s="58">
        <v>170</v>
      </c>
      <c r="W23" s="1" t="s">
        <v>120</v>
      </c>
    </row>
    <row r="24" spans="1:25" ht="39" customHeight="1">
      <c r="A24" s="273" t="s">
        <v>653</v>
      </c>
      <c r="B24" s="273"/>
      <c r="C24" s="273"/>
      <c r="D24" s="273"/>
      <c r="E24" s="273"/>
      <c r="F24" s="273"/>
      <c r="G24" s="135">
        <f>SUM(G26:G31)</f>
        <v>860000</v>
      </c>
      <c r="H24" s="135">
        <f>SUM(H26:H31)</f>
        <v>2560000</v>
      </c>
      <c r="I24" s="136">
        <f>SUM(I26:I31)</f>
        <v>9520</v>
      </c>
      <c r="J24" s="76"/>
      <c r="K24" s="8"/>
      <c r="L24" s="25"/>
      <c r="M24" s="52"/>
      <c r="N24" s="130">
        <v>626.23980981695649</v>
      </c>
      <c r="O24" s="130" t="s">
        <v>645</v>
      </c>
      <c r="P24" s="131">
        <v>0</v>
      </c>
      <c r="Q24" s="130">
        <v>178.56582773000002</v>
      </c>
      <c r="R24" s="130">
        <v>209.87980817391309</v>
      </c>
      <c r="S24" s="130">
        <v>74.532173913043493</v>
      </c>
      <c r="T24" s="130">
        <v>0</v>
      </c>
      <c r="U24" s="130">
        <v>163.262</v>
      </c>
    </row>
    <row r="25" spans="1:25" ht="54" customHeight="1">
      <c r="A25" s="86"/>
      <c r="B25" s="269" t="s">
        <v>122</v>
      </c>
      <c r="C25" s="269"/>
      <c r="D25" s="269"/>
      <c r="E25" s="269"/>
      <c r="F25" s="269"/>
      <c r="G25" s="269"/>
      <c r="H25" s="269"/>
      <c r="I25" s="269"/>
      <c r="J25" s="137"/>
      <c r="K25" s="8"/>
      <c r="L25" s="25"/>
      <c r="M25" s="52"/>
      <c r="N25" s="9"/>
      <c r="O25" s="5"/>
      <c r="P25" s="71"/>
      <c r="Q25" s="9"/>
      <c r="R25" s="9"/>
      <c r="S25" s="9"/>
      <c r="T25" s="9"/>
      <c r="U25" s="9"/>
    </row>
    <row r="26" spans="1:25" ht="56.25" customHeight="1">
      <c r="A26" s="87">
        <v>5</v>
      </c>
      <c r="B26" s="267"/>
      <c r="C26" s="92" t="str">
        <f>$B$25</f>
        <v>Output 5.1 Pacific capacity and collaborative approaches to deliver locally-relevant, impact-based, inclusive and accessible forecasts and warnings for end users strengthened and sustained</v>
      </c>
      <c r="D26" s="92">
        <v>51</v>
      </c>
      <c r="E26" s="92" t="s">
        <v>123</v>
      </c>
      <c r="F26" s="93" t="s">
        <v>654</v>
      </c>
      <c r="G26" s="43">
        <f>500000+160000+50000</f>
        <v>710000</v>
      </c>
      <c r="H26" s="43">
        <f>500000+160000</f>
        <v>660000</v>
      </c>
      <c r="I26" s="122">
        <f>(500000+160000)/1000</f>
        <v>660</v>
      </c>
      <c r="J26" s="43"/>
      <c r="K26" s="8"/>
      <c r="L26" s="26"/>
      <c r="M26" s="51"/>
      <c r="N26" s="9">
        <v>74.532173913043493</v>
      </c>
      <c r="O26" s="5"/>
      <c r="P26" s="71">
        <v>0</v>
      </c>
      <c r="Q26" s="9">
        <v>0</v>
      </c>
      <c r="R26" s="9">
        <v>0</v>
      </c>
      <c r="S26" s="9">
        <v>74.532173913043493</v>
      </c>
      <c r="T26" s="9">
        <v>0</v>
      </c>
      <c r="U26" s="9">
        <v>0</v>
      </c>
      <c r="W26" s="2" t="s">
        <v>125</v>
      </c>
      <c r="X26" s="2"/>
      <c r="Y26" s="2"/>
    </row>
    <row r="27" spans="1:25" ht="56.25" customHeight="1">
      <c r="A27" s="87">
        <v>5</v>
      </c>
      <c r="B27" s="268"/>
      <c r="C27" s="92" t="str">
        <f t="shared" ref="C27:C32" si="3">$B$25</f>
        <v>Output 5.1 Pacific capacity and collaborative approaches to deliver locally-relevant, impact-based, inclusive and accessible forecasts and warnings for end users strengthened and sustained</v>
      </c>
      <c r="D27" s="92">
        <v>52</v>
      </c>
      <c r="E27" s="92" t="s">
        <v>126</v>
      </c>
      <c r="F27" s="93" t="s">
        <v>127</v>
      </c>
      <c r="G27" s="43"/>
      <c r="H27" s="43">
        <v>1000000</v>
      </c>
      <c r="I27" s="122">
        <f>3930000/1000</f>
        <v>3930</v>
      </c>
      <c r="J27" s="43"/>
      <c r="K27" s="8"/>
      <c r="L27" s="26"/>
      <c r="M27" s="51"/>
      <c r="N27" s="9">
        <v>0</v>
      </c>
      <c r="O27" s="5"/>
      <c r="P27" s="71">
        <v>0</v>
      </c>
      <c r="Q27" s="9">
        <v>0</v>
      </c>
      <c r="R27" s="9">
        <v>0</v>
      </c>
      <c r="S27" s="9">
        <v>0</v>
      </c>
      <c r="T27" s="9">
        <v>0</v>
      </c>
      <c r="U27" s="9">
        <v>0</v>
      </c>
      <c r="W27" s="2" t="s">
        <v>128</v>
      </c>
      <c r="X27" s="2"/>
      <c r="Y27" s="2"/>
    </row>
    <row r="28" spans="1:25" ht="39.75" customHeight="1">
      <c r="A28" s="87">
        <v>5</v>
      </c>
      <c r="B28" s="268"/>
      <c r="C28" s="92" t="str">
        <f t="shared" si="3"/>
        <v>Output 5.1 Pacific capacity and collaborative approaches to deliver locally-relevant, impact-based, inclusive and accessible forecasts and warnings for end users strengthened and sustained</v>
      </c>
      <c r="D28" s="92">
        <v>53</v>
      </c>
      <c r="E28" s="92" t="s">
        <v>129</v>
      </c>
      <c r="F28" s="94" t="s">
        <v>655</v>
      </c>
      <c r="G28" s="43"/>
      <c r="H28" s="43">
        <v>400000</v>
      </c>
      <c r="I28" s="122">
        <f>(3930000+500000)/1000</f>
        <v>4430</v>
      </c>
      <c r="J28" s="43"/>
      <c r="K28" s="8"/>
      <c r="L28" s="26"/>
      <c r="M28" s="51"/>
      <c r="N28" s="9">
        <v>0</v>
      </c>
      <c r="O28" s="5"/>
      <c r="P28" s="71">
        <v>0</v>
      </c>
      <c r="Q28" s="9">
        <v>0</v>
      </c>
      <c r="R28" s="9">
        <v>0</v>
      </c>
      <c r="S28" s="9">
        <v>0</v>
      </c>
      <c r="T28" s="9">
        <v>0</v>
      </c>
      <c r="U28" s="9">
        <v>0</v>
      </c>
      <c r="W28" s="1" t="s">
        <v>131</v>
      </c>
    </row>
    <row r="29" spans="1:25" ht="39.75" customHeight="1">
      <c r="A29" s="87">
        <v>5</v>
      </c>
      <c r="B29" s="268"/>
      <c r="C29" s="92" t="str">
        <f t="shared" si="3"/>
        <v>Output 5.1 Pacific capacity and collaborative approaches to deliver locally-relevant, impact-based, inclusive and accessible forecasts and warnings for end users strengthened and sustained</v>
      </c>
      <c r="D29" s="92">
        <v>54</v>
      </c>
      <c r="E29" s="92" t="s">
        <v>132</v>
      </c>
      <c r="F29" s="94" t="s">
        <v>133</v>
      </c>
      <c r="G29" s="43">
        <v>50000</v>
      </c>
      <c r="H29" s="43" t="s">
        <v>23</v>
      </c>
      <c r="I29" s="43" t="s">
        <v>23</v>
      </c>
      <c r="J29" s="43"/>
      <c r="K29" s="8"/>
      <c r="L29" s="26"/>
      <c r="M29" s="51"/>
      <c r="N29" s="9">
        <v>206.72050546913047</v>
      </c>
      <c r="O29" s="5"/>
      <c r="P29" s="71">
        <v>0</v>
      </c>
      <c r="Q29" s="9">
        <v>104.97982773000001</v>
      </c>
      <c r="R29" s="9">
        <v>101.74067773913045</v>
      </c>
      <c r="S29" s="9">
        <v>0</v>
      </c>
      <c r="T29" s="9">
        <v>0</v>
      </c>
      <c r="U29" s="9">
        <v>0</v>
      </c>
      <c r="W29" s="2" t="s">
        <v>134</v>
      </c>
      <c r="X29" s="2"/>
      <c r="Y29" s="2"/>
    </row>
    <row r="30" spans="1:25" ht="57.75" customHeight="1">
      <c r="A30" s="87">
        <v>5</v>
      </c>
      <c r="B30" s="268"/>
      <c r="C30" s="92" t="str">
        <f t="shared" si="3"/>
        <v>Output 5.1 Pacific capacity and collaborative approaches to deliver locally-relevant, impact-based, inclusive and accessible forecasts and warnings for end users strengthened and sustained</v>
      </c>
      <c r="D30" s="92">
        <v>55</v>
      </c>
      <c r="E30" s="92" t="s">
        <v>135</v>
      </c>
      <c r="F30" s="94" t="s">
        <v>136</v>
      </c>
      <c r="G30" s="43"/>
      <c r="H30" s="43" t="s">
        <v>23</v>
      </c>
      <c r="I30" s="43" t="s">
        <v>23</v>
      </c>
      <c r="J30" s="43"/>
      <c r="K30" s="8"/>
      <c r="L30" s="26"/>
      <c r="M30" s="51"/>
      <c r="N30" s="9">
        <v>24</v>
      </c>
      <c r="O30" s="5"/>
      <c r="P30" s="71">
        <v>0</v>
      </c>
      <c r="Q30" s="9">
        <v>24</v>
      </c>
      <c r="R30" s="9">
        <v>0</v>
      </c>
      <c r="S30" s="9">
        <v>0</v>
      </c>
      <c r="T30" s="9">
        <v>0</v>
      </c>
      <c r="U30" s="9">
        <v>0</v>
      </c>
      <c r="W30" s="1" t="s">
        <v>137</v>
      </c>
    </row>
    <row r="31" spans="1:25" ht="39.75" customHeight="1">
      <c r="A31" s="87">
        <v>5</v>
      </c>
      <c r="B31" s="268"/>
      <c r="C31" s="92" t="str">
        <f t="shared" si="3"/>
        <v>Output 5.1 Pacific capacity and collaborative approaches to deliver locally-relevant, impact-based, inclusive and accessible forecasts and warnings for end users strengthened and sustained</v>
      </c>
      <c r="D31" s="92">
        <v>56</v>
      </c>
      <c r="E31" s="92" t="s">
        <v>138</v>
      </c>
      <c r="F31" s="93" t="s">
        <v>656</v>
      </c>
      <c r="G31" s="43">
        <v>100000</v>
      </c>
      <c r="H31" s="43">
        <v>500000</v>
      </c>
      <c r="I31" s="122">
        <f>500000/1000</f>
        <v>500</v>
      </c>
      <c r="J31" s="43"/>
      <c r="K31" s="8"/>
      <c r="L31" s="26"/>
      <c r="M31" s="51"/>
      <c r="N31" s="9">
        <v>157.72513043478261</v>
      </c>
      <c r="O31" s="5"/>
      <c r="P31" s="71">
        <v>0</v>
      </c>
      <c r="Q31" s="9">
        <v>49.585999999999999</v>
      </c>
      <c r="R31" s="9">
        <v>108.13913043478263</v>
      </c>
      <c r="S31" s="9">
        <v>0</v>
      </c>
      <c r="T31" s="9">
        <v>0</v>
      </c>
      <c r="U31" s="9">
        <v>0</v>
      </c>
      <c r="W31" s="35" t="s">
        <v>140</v>
      </c>
      <c r="X31" s="35"/>
      <c r="Y31" s="35"/>
    </row>
    <row r="32" spans="1:25" ht="42" customHeight="1">
      <c r="A32" s="87">
        <v>5</v>
      </c>
      <c r="B32" s="106"/>
      <c r="C32" s="95" t="str">
        <f t="shared" si="3"/>
        <v>Output 5.1 Pacific capacity and collaborative approaches to deliver locally-relevant, impact-based, inclusive and accessible forecasts and warnings for end users strengthened and sustained</v>
      </c>
      <c r="D32" s="95">
        <v>57</v>
      </c>
      <c r="E32" s="95" t="s">
        <v>141</v>
      </c>
      <c r="F32" s="113" t="s">
        <v>142</v>
      </c>
      <c r="G32" s="78" t="s">
        <v>30</v>
      </c>
      <c r="H32" s="78" t="s">
        <v>30</v>
      </c>
      <c r="I32" s="78" t="s">
        <v>30</v>
      </c>
      <c r="J32" s="78"/>
      <c r="K32" s="8"/>
      <c r="L32" s="26"/>
      <c r="M32" s="51"/>
      <c r="N32" s="9">
        <v>163.262</v>
      </c>
      <c r="O32" s="5"/>
      <c r="P32" s="71">
        <v>0</v>
      </c>
      <c r="Q32" s="9">
        <v>0</v>
      </c>
      <c r="R32" s="9">
        <v>0</v>
      </c>
      <c r="S32" s="9">
        <v>0</v>
      </c>
      <c r="T32" s="9">
        <v>0</v>
      </c>
      <c r="U32" s="9">
        <v>163.262</v>
      </c>
      <c r="W32" s="2" t="s">
        <v>143</v>
      </c>
      <c r="X32" s="2"/>
      <c r="Y32" s="2"/>
    </row>
    <row r="33" spans="1:25" ht="39" customHeight="1">
      <c r="A33" s="273" t="s">
        <v>657</v>
      </c>
      <c r="B33" s="273"/>
      <c r="C33" s="273"/>
      <c r="D33" s="273"/>
      <c r="E33" s="273"/>
      <c r="F33" s="273"/>
      <c r="G33" s="135">
        <f>SUM(G35:G46)</f>
        <v>3550000</v>
      </c>
      <c r="H33" s="135">
        <f>SUM(H35:H46)</f>
        <v>9880000</v>
      </c>
      <c r="I33" s="136">
        <f>SUM(I35:I46)</f>
        <v>89160</v>
      </c>
      <c r="J33" s="76"/>
      <c r="K33" s="8"/>
      <c r="L33" s="25"/>
      <c r="M33" s="52"/>
      <c r="N33" s="130">
        <v>10562.965847826086</v>
      </c>
      <c r="O33" s="130" t="s">
        <v>645</v>
      </c>
      <c r="P33" s="131">
        <v>1906.335</v>
      </c>
      <c r="Q33" s="130">
        <v>766.54549999999995</v>
      </c>
      <c r="R33" s="130">
        <v>6142.4883478260872</v>
      </c>
      <c r="S33" s="130">
        <v>1127.8890000000001</v>
      </c>
      <c r="T33" s="130">
        <v>309.85399999999998</v>
      </c>
      <c r="U33" s="130">
        <v>309.85399999999998</v>
      </c>
    </row>
    <row r="34" spans="1:25" ht="42.75" customHeight="1">
      <c r="A34" s="86"/>
      <c r="B34" s="269" t="s">
        <v>65</v>
      </c>
      <c r="C34" s="269"/>
      <c r="D34" s="269"/>
      <c r="E34" s="269"/>
      <c r="F34" s="269"/>
      <c r="G34" s="269"/>
      <c r="H34" s="269"/>
      <c r="I34" s="269"/>
      <c r="J34" s="137"/>
      <c r="K34" s="8"/>
      <c r="L34" s="25"/>
      <c r="M34" s="52"/>
      <c r="N34" s="124"/>
      <c r="O34" s="5"/>
      <c r="P34" s="134"/>
      <c r="Q34" s="124"/>
      <c r="R34" s="124"/>
      <c r="S34" s="124"/>
      <c r="T34" s="124"/>
      <c r="U34" s="124"/>
    </row>
    <row r="35" spans="1:25" ht="39" customHeight="1">
      <c r="A35" s="87">
        <v>3</v>
      </c>
      <c r="B35" s="108"/>
      <c r="C35" s="92" t="str">
        <f>B34</f>
        <v>Output 3.2 WMO-designated Pacific Regional Instrument Centre established and sustainably managed</v>
      </c>
      <c r="D35" s="92">
        <v>31</v>
      </c>
      <c r="E35" s="92" t="s">
        <v>66</v>
      </c>
      <c r="F35" s="93" t="s">
        <v>658</v>
      </c>
      <c r="G35" s="43"/>
      <c r="H35" s="43">
        <v>1860000</v>
      </c>
      <c r="I35" s="122">
        <f>1860000/1000</f>
        <v>1860</v>
      </c>
      <c r="J35" s="43"/>
      <c r="K35" s="8"/>
      <c r="L35" s="26"/>
      <c r="M35" s="51"/>
      <c r="N35" s="9">
        <v>50.504347826086956</v>
      </c>
      <c r="O35" s="5"/>
      <c r="P35" s="71">
        <v>0</v>
      </c>
      <c r="Q35" s="9">
        <v>0</v>
      </c>
      <c r="R35" s="9">
        <v>50.504347826086956</v>
      </c>
      <c r="S35" s="9">
        <v>0</v>
      </c>
      <c r="T35" s="9">
        <v>0</v>
      </c>
      <c r="U35" s="9">
        <v>0</v>
      </c>
      <c r="W35" s="2" t="s">
        <v>68</v>
      </c>
      <c r="X35" s="2"/>
      <c r="Y35" s="2"/>
    </row>
    <row r="36" spans="1:25" ht="41.25" customHeight="1">
      <c r="A36" s="86"/>
      <c r="B36" s="270" t="s">
        <v>69</v>
      </c>
      <c r="C36" s="270"/>
      <c r="D36" s="270"/>
      <c r="E36" s="270"/>
      <c r="F36" s="270"/>
      <c r="G36" s="270"/>
      <c r="H36" s="270"/>
      <c r="I36" s="270"/>
      <c r="J36" s="73"/>
      <c r="K36" s="8"/>
      <c r="L36" s="26"/>
      <c r="M36" s="51"/>
      <c r="N36" s="9"/>
      <c r="P36" s="71"/>
      <c r="Q36" s="9"/>
      <c r="R36" s="9"/>
      <c r="S36" s="9"/>
      <c r="T36" s="9"/>
      <c r="U36" s="9"/>
      <c r="W36" s="2"/>
      <c r="X36" s="2"/>
      <c r="Y36" s="2"/>
    </row>
    <row r="37" spans="1:25" ht="58.5" customHeight="1">
      <c r="A37" s="87">
        <v>3</v>
      </c>
      <c r="B37" s="267"/>
      <c r="C37" s="92" t="str">
        <f>$B$36</f>
        <v>Output 3.1 Interoperable, affordable and resilient observation network progressively remediated, expanded and sustained</v>
      </c>
      <c r="D37" s="92">
        <v>32</v>
      </c>
      <c r="E37" s="92" t="s">
        <v>70</v>
      </c>
      <c r="F37" s="109" t="s">
        <v>659</v>
      </c>
      <c r="G37" s="43">
        <v>1050000</v>
      </c>
      <c r="H37" s="43">
        <v>1000000</v>
      </c>
      <c r="I37" s="122">
        <f>1000000/1000</f>
        <v>1000</v>
      </c>
      <c r="J37" s="43"/>
      <c r="K37" s="8"/>
      <c r="L37" s="26"/>
      <c r="M37" s="51"/>
      <c r="N37" s="9">
        <v>976.67</v>
      </c>
      <c r="O37" s="5"/>
      <c r="P37" s="71">
        <v>0.28999999999999998</v>
      </c>
      <c r="Q37" s="9">
        <v>385.66899999999998</v>
      </c>
      <c r="R37" s="9">
        <v>460.71100000000001</v>
      </c>
      <c r="S37" s="9">
        <v>110</v>
      </c>
      <c r="T37" s="9">
        <v>10</v>
      </c>
      <c r="U37" s="9">
        <v>10</v>
      </c>
      <c r="W37" s="2" t="s">
        <v>72</v>
      </c>
      <c r="X37" s="2"/>
      <c r="Y37" s="67" t="s">
        <v>660</v>
      </c>
    </row>
    <row r="38" spans="1:25" ht="62.25" hidden="1" customHeight="1">
      <c r="A38" s="87"/>
      <c r="B38" s="268"/>
      <c r="C38" s="92" t="str">
        <f t="shared" ref="C38:C46" si="4">$B$36</f>
        <v>Output 3.1 Interoperable, affordable and resilient observation network progressively remediated, expanded and sustained</v>
      </c>
      <c r="D38" s="92"/>
      <c r="E38" s="92"/>
      <c r="F38" s="109"/>
      <c r="G38" s="43"/>
      <c r="H38" s="43"/>
      <c r="I38" s="43"/>
      <c r="J38" s="43"/>
      <c r="K38" s="8"/>
      <c r="L38" s="26"/>
      <c r="M38" s="51"/>
      <c r="N38" s="9"/>
      <c r="O38" s="46"/>
      <c r="P38" s="71"/>
      <c r="Q38" s="9"/>
      <c r="R38" s="9"/>
      <c r="S38" s="9"/>
      <c r="T38" s="9"/>
      <c r="U38" s="9"/>
      <c r="W38" s="2"/>
      <c r="X38" s="2"/>
      <c r="Y38" s="70" t="s">
        <v>73</v>
      </c>
    </row>
    <row r="39" spans="1:25" ht="41.25" customHeight="1">
      <c r="A39" s="87">
        <v>3</v>
      </c>
      <c r="B39" s="268"/>
      <c r="C39" s="92" t="str">
        <f t="shared" si="4"/>
        <v>Output 3.1 Interoperable, affordable and resilient observation network progressively remediated, expanded and sustained</v>
      </c>
      <c r="D39" s="92">
        <v>33</v>
      </c>
      <c r="E39" s="92" t="s">
        <v>74</v>
      </c>
      <c r="F39" s="94" t="s">
        <v>75</v>
      </c>
      <c r="G39" s="43"/>
      <c r="H39" s="43">
        <v>220000</v>
      </c>
      <c r="I39" s="122">
        <f>470000/1000</f>
        <v>470</v>
      </c>
      <c r="J39" s="43"/>
      <c r="K39" s="8"/>
      <c r="L39" s="26"/>
      <c r="M39" s="51"/>
      <c r="N39" s="9">
        <v>1073.6395</v>
      </c>
      <c r="O39" s="5"/>
      <c r="P39" s="71">
        <v>0</v>
      </c>
      <c r="Q39" s="9">
        <v>40.8155</v>
      </c>
      <c r="R39" s="9">
        <v>163.262</v>
      </c>
      <c r="S39" s="9">
        <v>289.85399999999998</v>
      </c>
      <c r="T39" s="9">
        <v>289.85399999999998</v>
      </c>
      <c r="U39" s="9">
        <v>289.85399999999998</v>
      </c>
      <c r="W39" s="149" t="s">
        <v>76</v>
      </c>
      <c r="X39" s="149"/>
      <c r="Y39" s="69" t="s">
        <v>661</v>
      </c>
    </row>
    <row r="40" spans="1:25" ht="22.5" customHeight="1">
      <c r="A40" s="87">
        <v>3</v>
      </c>
      <c r="B40" s="268"/>
      <c r="C40" s="92" t="str">
        <f t="shared" si="4"/>
        <v>Output 3.1 Interoperable, affordable and resilient observation network progressively remediated, expanded and sustained</v>
      </c>
      <c r="D40" s="92">
        <v>71</v>
      </c>
      <c r="E40" s="92" t="s">
        <v>77</v>
      </c>
      <c r="F40" s="110" t="s">
        <v>78</v>
      </c>
      <c r="G40" s="43"/>
      <c r="H40" s="43">
        <v>2000000</v>
      </c>
      <c r="I40" s="122">
        <f>(12340000-1000000)/1000</f>
        <v>11340</v>
      </c>
      <c r="J40" s="43"/>
      <c r="K40" s="6"/>
      <c r="L40" s="26"/>
      <c r="M40" s="51"/>
      <c r="N40" s="9">
        <v>1500</v>
      </c>
      <c r="O40" s="5"/>
      <c r="P40" s="71">
        <v>0</v>
      </c>
      <c r="Q40" s="9">
        <v>0</v>
      </c>
      <c r="R40" s="9">
        <v>1000</v>
      </c>
      <c r="S40" s="9">
        <v>500</v>
      </c>
      <c r="T40" s="9">
        <v>0</v>
      </c>
      <c r="U40" s="9">
        <v>0</v>
      </c>
      <c r="Y40" s="68" t="s">
        <v>662</v>
      </c>
    </row>
    <row r="41" spans="1:25" ht="23.25" customHeight="1">
      <c r="A41" s="87">
        <v>3</v>
      </c>
      <c r="B41" s="268"/>
      <c r="C41" s="92" t="str">
        <f t="shared" si="4"/>
        <v>Output 3.1 Interoperable, affordable and resilient observation network progressively remediated, expanded and sustained</v>
      </c>
      <c r="D41" s="92">
        <v>72</v>
      </c>
      <c r="E41" s="92" t="s">
        <v>79</v>
      </c>
      <c r="F41" s="110" t="s">
        <v>80</v>
      </c>
      <c r="G41" s="43"/>
      <c r="H41" s="43"/>
      <c r="I41" s="122">
        <f>8050000/1000</f>
        <v>8050</v>
      </c>
      <c r="J41" s="43"/>
      <c r="K41" s="6"/>
      <c r="L41" s="26"/>
      <c r="M41" s="51"/>
      <c r="N41" s="9">
        <v>0</v>
      </c>
      <c r="O41" s="5"/>
      <c r="P41" s="71">
        <v>0</v>
      </c>
      <c r="Q41" s="9">
        <v>0</v>
      </c>
      <c r="R41" s="9">
        <v>0</v>
      </c>
      <c r="S41" s="9">
        <v>0</v>
      </c>
      <c r="T41" s="9">
        <v>0</v>
      </c>
      <c r="U41" s="9">
        <v>0</v>
      </c>
      <c r="W41" s="1" t="s">
        <v>81</v>
      </c>
      <c r="Y41" s="69" t="s">
        <v>663</v>
      </c>
    </row>
    <row r="42" spans="1:25" ht="23.25" customHeight="1">
      <c r="A42" s="87">
        <v>3</v>
      </c>
      <c r="B42" s="268"/>
      <c r="C42" s="92" t="str">
        <f t="shared" si="4"/>
        <v>Output 3.1 Interoperable, affordable and resilient observation network progressively remediated, expanded and sustained</v>
      </c>
      <c r="D42" s="92">
        <v>73</v>
      </c>
      <c r="E42" s="92" t="s">
        <v>82</v>
      </c>
      <c r="F42" s="110" t="s">
        <v>83</v>
      </c>
      <c r="G42" s="43">
        <v>2500000</v>
      </c>
      <c r="H42" s="43">
        <v>2500000</v>
      </c>
      <c r="I42" s="122">
        <f>11650000/1000</f>
        <v>11650</v>
      </c>
      <c r="J42" s="43"/>
      <c r="K42" s="6"/>
      <c r="L42" s="26"/>
      <c r="M42" s="51"/>
      <c r="N42" s="9">
        <v>6962.152</v>
      </c>
      <c r="O42" s="5"/>
      <c r="P42" s="71">
        <v>1906.0450000000001</v>
      </c>
      <c r="Q42" s="9">
        <v>340.06099999999998</v>
      </c>
      <c r="R42" s="9">
        <v>4468.0110000000004</v>
      </c>
      <c r="S42" s="9">
        <v>228.035</v>
      </c>
      <c r="T42" s="9">
        <v>10</v>
      </c>
      <c r="U42" s="9">
        <v>10</v>
      </c>
      <c r="W42" s="62" t="s">
        <v>84</v>
      </c>
      <c r="X42" s="62"/>
      <c r="Y42" s="62"/>
    </row>
    <row r="43" spans="1:25" ht="23.25" customHeight="1">
      <c r="A43" s="87">
        <v>3</v>
      </c>
      <c r="B43" s="268"/>
      <c r="C43" s="92" t="str">
        <f t="shared" si="4"/>
        <v>Output 3.1 Interoperable, affordable and resilient observation network progressively remediated, expanded and sustained</v>
      </c>
      <c r="D43" s="92">
        <v>74</v>
      </c>
      <c r="E43" s="92" t="s">
        <v>85</v>
      </c>
      <c r="F43" s="110" t="s">
        <v>664</v>
      </c>
      <c r="G43" s="43"/>
      <c r="H43" s="43">
        <v>2300000</v>
      </c>
      <c r="I43" s="122">
        <f>19750000/1000</f>
        <v>19750</v>
      </c>
      <c r="J43" s="43"/>
      <c r="K43" s="6"/>
      <c r="L43" s="26"/>
      <c r="M43" s="51"/>
      <c r="N43" s="9">
        <v>0</v>
      </c>
      <c r="O43" s="5"/>
      <c r="P43" s="71">
        <v>0</v>
      </c>
      <c r="Q43" s="9">
        <v>0</v>
      </c>
      <c r="R43" s="9">
        <v>0</v>
      </c>
      <c r="S43" s="9">
        <v>0</v>
      </c>
      <c r="T43" s="9">
        <v>0</v>
      </c>
      <c r="U43" s="9">
        <v>0</v>
      </c>
      <c r="W43" s="1" t="s">
        <v>87</v>
      </c>
    </row>
    <row r="44" spans="1:25" ht="21" customHeight="1">
      <c r="A44" s="87">
        <v>3</v>
      </c>
      <c r="B44" s="268"/>
      <c r="C44" s="92" t="str">
        <f t="shared" si="4"/>
        <v>Output 3.1 Interoperable, affordable and resilient observation network progressively remediated, expanded and sustained</v>
      </c>
      <c r="D44" s="92">
        <v>75</v>
      </c>
      <c r="E44" s="92" t="s">
        <v>88</v>
      </c>
      <c r="F44" s="93" t="s">
        <v>665</v>
      </c>
      <c r="G44" s="43"/>
      <c r="H44" s="43"/>
      <c r="I44" s="122">
        <f>13930000/1000</f>
        <v>13930</v>
      </c>
      <c r="J44" s="43"/>
      <c r="K44" s="6"/>
      <c r="L44" s="26"/>
      <c r="M44" s="51"/>
      <c r="N44" s="9">
        <v>0</v>
      </c>
      <c r="O44" s="5"/>
      <c r="P44" s="71">
        <v>0</v>
      </c>
      <c r="Q44" s="9">
        <v>0</v>
      </c>
      <c r="R44" s="9">
        <v>0</v>
      </c>
      <c r="S44" s="9">
        <v>0</v>
      </c>
      <c r="T44" s="9">
        <v>0</v>
      </c>
      <c r="U44" s="9">
        <v>0</v>
      </c>
      <c r="W44" s="1" t="s">
        <v>90</v>
      </c>
    </row>
    <row r="45" spans="1:25" ht="39" customHeight="1">
      <c r="A45" s="87">
        <v>3</v>
      </c>
      <c r="B45" s="268"/>
      <c r="C45" s="92" t="str">
        <f t="shared" si="4"/>
        <v>Output 3.1 Interoperable, affordable and resilient observation network progressively remediated, expanded and sustained</v>
      </c>
      <c r="D45" s="92">
        <v>76</v>
      </c>
      <c r="E45" s="92" t="s">
        <v>91</v>
      </c>
      <c r="F45" s="110" t="s">
        <v>666</v>
      </c>
      <c r="G45" s="43"/>
      <c r="H45" s="43"/>
      <c r="I45" s="122">
        <f>20520000/1000</f>
        <v>20520</v>
      </c>
      <c r="J45" s="43"/>
      <c r="K45" s="6"/>
      <c r="L45" s="26"/>
      <c r="M45" s="51"/>
      <c r="N45" s="9">
        <v>0</v>
      </c>
      <c r="O45" s="5"/>
      <c r="P45" s="71">
        <v>0</v>
      </c>
      <c r="Q45" s="9">
        <v>0</v>
      </c>
      <c r="R45" s="9">
        <v>0</v>
      </c>
      <c r="S45" s="9">
        <v>0</v>
      </c>
      <c r="T45" s="9">
        <v>0</v>
      </c>
      <c r="U45" s="9">
        <v>0</v>
      </c>
      <c r="W45" s="62" t="s">
        <v>93</v>
      </c>
      <c r="X45" s="62"/>
      <c r="Y45" s="62"/>
    </row>
    <row r="46" spans="1:25" ht="40.5" customHeight="1">
      <c r="A46" s="87">
        <v>3</v>
      </c>
      <c r="B46" s="268"/>
      <c r="C46" s="95" t="str">
        <f t="shared" si="4"/>
        <v>Output 3.1 Interoperable, affordable and resilient observation network progressively remediated, expanded and sustained</v>
      </c>
      <c r="D46" s="95">
        <v>77</v>
      </c>
      <c r="E46" s="95" t="s">
        <v>94</v>
      </c>
      <c r="F46" s="139" t="s">
        <v>95</v>
      </c>
      <c r="G46" s="78"/>
      <c r="H46" s="78"/>
      <c r="I46" s="138">
        <f>590000/1000</f>
        <v>590</v>
      </c>
      <c r="J46" s="78"/>
      <c r="K46" s="6"/>
      <c r="L46" s="26"/>
      <c r="M46" s="51"/>
      <c r="N46" s="58">
        <v>0</v>
      </c>
      <c r="O46" s="5"/>
      <c r="P46" s="72">
        <v>0</v>
      </c>
      <c r="Q46" s="58">
        <v>0</v>
      </c>
      <c r="R46" s="58">
        <v>0</v>
      </c>
      <c r="S46" s="58">
        <v>0</v>
      </c>
      <c r="T46" s="58">
        <v>0</v>
      </c>
      <c r="U46" s="58">
        <v>0</v>
      </c>
      <c r="W46" s="62" t="s">
        <v>96</v>
      </c>
      <c r="X46" s="62"/>
      <c r="Y46" s="62"/>
    </row>
    <row r="47" spans="1:25" ht="23.25" customHeight="1">
      <c r="A47" s="107" t="s">
        <v>667</v>
      </c>
      <c r="B47" s="125"/>
      <c r="C47" s="125"/>
      <c r="D47" s="125"/>
      <c r="E47" s="125"/>
      <c r="F47" s="126"/>
      <c r="G47" s="135">
        <f>SUM(G49:G58)</f>
        <v>330000</v>
      </c>
      <c r="H47" s="135">
        <f>SUM(H49:H58)</f>
        <v>5480000</v>
      </c>
      <c r="I47" s="136">
        <f>SUM(I49:I58)</f>
        <v>20640</v>
      </c>
      <c r="J47" s="76"/>
      <c r="K47" s="8"/>
      <c r="L47" s="25"/>
      <c r="M47" s="52"/>
      <c r="N47" s="130">
        <v>3079.5214943695651</v>
      </c>
      <c r="O47" s="130" t="s">
        <v>645</v>
      </c>
      <c r="P47" s="131">
        <v>227.93699999999998</v>
      </c>
      <c r="Q47" s="130">
        <v>1288.1081916521739</v>
      </c>
      <c r="R47" s="130">
        <v>813.69030271739132</v>
      </c>
      <c r="S47" s="130">
        <v>423.262</v>
      </c>
      <c r="T47" s="130">
        <v>163.262</v>
      </c>
      <c r="U47" s="130">
        <v>163.262</v>
      </c>
    </row>
    <row r="48" spans="1:25" ht="39.75" customHeight="1">
      <c r="A48" s="86"/>
      <c r="B48" s="269" t="s">
        <v>41</v>
      </c>
      <c r="C48" s="269"/>
      <c r="D48" s="269"/>
      <c r="E48" s="269"/>
      <c r="F48" s="269"/>
      <c r="G48" s="269"/>
      <c r="H48" s="269"/>
      <c r="I48" s="269"/>
      <c r="J48" s="137"/>
      <c r="K48" s="8"/>
      <c r="L48" s="25"/>
      <c r="M48" s="52"/>
      <c r="N48" s="124"/>
      <c r="O48" s="5"/>
      <c r="P48" s="134"/>
      <c r="Q48" s="124"/>
      <c r="R48" s="124"/>
      <c r="S48" s="124"/>
      <c r="T48" s="124"/>
      <c r="U48" s="124"/>
    </row>
    <row r="49" spans="1:25" ht="26.25" customHeight="1">
      <c r="A49" s="87">
        <v>2</v>
      </c>
      <c r="B49" s="92"/>
      <c r="C49" s="92" t="str">
        <f>B48</f>
        <v>OP2.1 WMO-designated Pacific Regional Training Centre established and sustainably managed</v>
      </c>
      <c r="D49" s="92">
        <v>21</v>
      </c>
      <c r="E49" s="92" t="s">
        <v>42</v>
      </c>
      <c r="F49" s="93" t="s">
        <v>668</v>
      </c>
      <c r="G49" s="43">
        <v>20000</v>
      </c>
      <c r="H49" s="43">
        <v>920000</v>
      </c>
      <c r="I49" s="122">
        <f>920000/1000</f>
        <v>920</v>
      </c>
      <c r="J49" s="43"/>
      <c r="K49" s="8"/>
      <c r="L49" s="26"/>
      <c r="M49" s="51"/>
      <c r="N49" s="9">
        <v>237.9826086956522</v>
      </c>
      <c r="O49" s="5"/>
      <c r="P49" s="71">
        <v>0</v>
      </c>
      <c r="Q49" s="9">
        <v>202.9826086956522</v>
      </c>
      <c r="R49" s="9">
        <v>35</v>
      </c>
      <c r="S49" s="9">
        <v>0</v>
      </c>
      <c r="T49" s="9">
        <v>0</v>
      </c>
      <c r="U49" s="9">
        <v>0</v>
      </c>
      <c r="W49" s="2" t="s">
        <v>44</v>
      </c>
      <c r="X49" s="2"/>
      <c r="Y49" s="69" t="s">
        <v>669</v>
      </c>
    </row>
    <row r="50" spans="1:25" ht="41.25" customHeight="1">
      <c r="A50" s="86"/>
      <c r="B50" s="270" t="s">
        <v>45</v>
      </c>
      <c r="C50" s="270"/>
      <c r="D50" s="270"/>
      <c r="E50" s="270"/>
      <c r="F50" s="270"/>
      <c r="G50" s="270"/>
      <c r="H50" s="270"/>
      <c r="I50" s="270"/>
      <c r="J50" s="73"/>
      <c r="K50" s="8"/>
      <c r="L50" s="26"/>
      <c r="M50" s="51"/>
      <c r="N50" s="9"/>
      <c r="P50" s="71"/>
      <c r="Q50" s="9"/>
      <c r="R50" s="9"/>
      <c r="S50" s="9"/>
      <c r="T50" s="9"/>
      <c r="U50" s="9"/>
      <c r="W50" s="2"/>
      <c r="X50" s="2"/>
      <c r="Y50" s="69"/>
    </row>
    <row r="51" spans="1:25" ht="24.75" customHeight="1">
      <c r="A51" s="87">
        <v>2</v>
      </c>
      <c r="B51" s="275"/>
      <c r="C51" s="92" t="str">
        <f>$B$50</f>
        <v>OP2.2 Inclusive leadership and technical capability strengthening programmes established and delivering ongoing training to industry standards</v>
      </c>
      <c r="D51" s="92">
        <v>22</v>
      </c>
      <c r="E51" s="92" t="s">
        <v>46</v>
      </c>
      <c r="F51" s="93" t="s">
        <v>47</v>
      </c>
      <c r="G51" s="43">
        <v>110000</v>
      </c>
      <c r="H51" s="43">
        <v>1350000</v>
      </c>
      <c r="I51" s="122">
        <f>2700000/1000</f>
        <v>2700</v>
      </c>
      <c r="J51" s="43"/>
      <c r="K51" s="6"/>
      <c r="L51" s="26"/>
      <c r="M51" s="51"/>
      <c r="N51" s="9">
        <v>811.59275000000002</v>
      </c>
      <c r="O51" s="5"/>
      <c r="P51" s="71">
        <v>7.1950000000000003</v>
      </c>
      <c r="Q51" s="9">
        <v>351.42399999999998</v>
      </c>
      <c r="R51" s="9">
        <v>272.97375</v>
      </c>
      <c r="S51" s="9">
        <v>180</v>
      </c>
      <c r="T51" s="9">
        <v>0</v>
      </c>
      <c r="U51" s="9">
        <v>0</v>
      </c>
    </row>
    <row r="52" spans="1:25" ht="60" customHeight="1">
      <c r="A52" s="87">
        <v>2</v>
      </c>
      <c r="B52" s="276"/>
      <c r="C52" s="92" t="str">
        <f t="shared" ref="C52:C56" si="5">$B$50</f>
        <v>OP2.2 Inclusive leadership and technical capability strengthening programmes established and delivering ongoing training to industry standards</v>
      </c>
      <c r="D52" s="92">
        <v>23</v>
      </c>
      <c r="E52" s="92" t="s">
        <v>48</v>
      </c>
      <c r="F52" s="93" t="s">
        <v>670</v>
      </c>
      <c r="G52" s="43"/>
      <c r="H52" s="43"/>
      <c r="I52" s="122">
        <f>2440000/1000</f>
        <v>2440</v>
      </c>
      <c r="J52" s="43"/>
      <c r="K52" s="6"/>
      <c r="L52" s="26"/>
      <c r="M52" s="51"/>
      <c r="N52" s="9">
        <v>160</v>
      </c>
      <c r="O52" s="5"/>
      <c r="P52" s="71">
        <v>0</v>
      </c>
      <c r="Q52" s="9">
        <v>80</v>
      </c>
      <c r="R52" s="9">
        <v>0</v>
      </c>
      <c r="S52" s="9">
        <v>80</v>
      </c>
      <c r="T52" s="9">
        <v>0</v>
      </c>
      <c r="U52" s="9">
        <v>0</v>
      </c>
    </row>
    <row r="53" spans="1:25" ht="39.75" customHeight="1">
      <c r="A53" s="87">
        <v>2</v>
      </c>
      <c r="B53" s="276"/>
      <c r="C53" s="92" t="str">
        <f t="shared" si="5"/>
        <v>OP2.2 Inclusive leadership and technical capability strengthening programmes established and delivering ongoing training to industry standards</v>
      </c>
      <c r="D53" s="92">
        <v>24</v>
      </c>
      <c r="E53" s="92" t="s">
        <v>50</v>
      </c>
      <c r="F53" s="110" t="s">
        <v>671</v>
      </c>
      <c r="G53" s="43"/>
      <c r="H53" s="43">
        <v>480000</v>
      </c>
      <c r="I53" s="122">
        <f>(4160000/1000)-I49</f>
        <v>3240</v>
      </c>
      <c r="J53" s="43"/>
      <c r="K53" s="6"/>
      <c r="L53" s="26"/>
      <c r="M53" s="51"/>
      <c r="N53" s="9">
        <v>295.6521739130435</v>
      </c>
      <c r="O53" s="5"/>
      <c r="P53" s="71">
        <v>0</v>
      </c>
      <c r="Q53" s="9">
        <v>147.82608695652175</v>
      </c>
      <c r="R53" s="9">
        <v>147.82608695652175</v>
      </c>
      <c r="S53" s="9">
        <v>0</v>
      </c>
      <c r="T53" s="9">
        <v>0</v>
      </c>
      <c r="U53" s="9">
        <v>0</v>
      </c>
      <c r="Y53" s="69" t="s">
        <v>672</v>
      </c>
    </row>
    <row r="54" spans="1:25" ht="41.25" customHeight="1">
      <c r="A54" s="87">
        <v>2</v>
      </c>
      <c r="B54" s="276"/>
      <c r="C54" s="92" t="str">
        <f t="shared" si="5"/>
        <v>OP2.2 Inclusive leadership and technical capability strengthening programmes established and delivering ongoing training to industry standards</v>
      </c>
      <c r="D54" s="92">
        <v>25</v>
      </c>
      <c r="E54" s="92" t="s">
        <v>52</v>
      </c>
      <c r="F54" s="93" t="s">
        <v>53</v>
      </c>
      <c r="G54" s="43"/>
      <c r="H54" s="43">
        <v>600000</v>
      </c>
      <c r="I54" s="122">
        <f>1040000/1000</f>
        <v>1040</v>
      </c>
      <c r="J54" s="43"/>
      <c r="K54" s="6"/>
      <c r="L54" s="26"/>
      <c r="M54" s="51"/>
      <c r="N54" s="9">
        <v>135.17391304347828</v>
      </c>
      <c r="O54" s="5"/>
      <c r="P54" s="71">
        <v>0</v>
      </c>
      <c r="Q54" s="9">
        <v>0</v>
      </c>
      <c r="R54" s="9">
        <v>135.17391304347828</v>
      </c>
      <c r="S54" s="9">
        <v>0</v>
      </c>
      <c r="T54" s="9">
        <v>0</v>
      </c>
      <c r="U54" s="9">
        <v>0</v>
      </c>
    </row>
    <row r="55" spans="1:25" ht="23.25" customHeight="1">
      <c r="A55" s="87">
        <v>2</v>
      </c>
      <c r="B55" s="276"/>
      <c r="C55" s="92" t="str">
        <f t="shared" si="5"/>
        <v>OP2.2 Inclusive leadership and technical capability strengthening programmes established and delivering ongoing training to industry standards</v>
      </c>
      <c r="D55" s="92">
        <v>26</v>
      </c>
      <c r="E55" s="92" t="s">
        <v>54</v>
      </c>
      <c r="F55" s="110" t="s">
        <v>55</v>
      </c>
      <c r="G55" s="43">
        <f>100000+100000</f>
        <v>200000</v>
      </c>
      <c r="H55" s="43">
        <f>2030000+100000</f>
        <v>2130000</v>
      </c>
      <c r="I55" s="122">
        <f>(8150000+200000+980000)/1000</f>
        <v>9330</v>
      </c>
      <c r="J55" s="43"/>
      <c r="K55" s="6"/>
      <c r="L55" s="26"/>
      <c r="M55" s="51"/>
      <c r="N55" s="9">
        <v>207.45518371739135</v>
      </c>
      <c r="O55" s="5"/>
      <c r="P55" s="71">
        <v>0</v>
      </c>
      <c r="Q55" s="9">
        <v>150.30558600000001</v>
      </c>
      <c r="R55" s="9">
        <v>57.149597717391309</v>
      </c>
      <c r="S55" s="9">
        <v>0</v>
      </c>
      <c r="T55" s="9">
        <v>0</v>
      </c>
      <c r="U55" s="9">
        <v>0</v>
      </c>
      <c r="W55" s="1" t="s">
        <v>56</v>
      </c>
    </row>
    <row r="56" spans="1:25" ht="39.75" customHeight="1">
      <c r="A56" s="87">
        <v>2</v>
      </c>
      <c r="B56" s="277"/>
      <c r="C56" s="92" t="str">
        <f t="shared" si="5"/>
        <v>OP2.2 Inclusive leadership and technical capability strengthening programmes established and delivering ongoing training to industry standards</v>
      </c>
      <c r="D56" s="92">
        <v>27</v>
      </c>
      <c r="E56" s="92" t="s">
        <v>57</v>
      </c>
      <c r="F56" s="94" t="s">
        <v>58</v>
      </c>
      <c r="G56" s="43" t="s">
        <v>30</v>
      </c>
      <c r="H56" s="43" t="s">
        <v>30</v>
      </c>
      <c r="I56" s="43" t="s">
        <v>30</v>
      </c>
      <c r="J56" s="43"/>
      <c r="K56" s="6"/>
      <c r="L56" s="26"/>
      <c r="M56" s="51"/>
      <c r="N56" s="9">
        <v>741.59386499999994</v>
      </c>
      <c r="O56" s="5"/>
      <c r="P56" s="71">
        <v>0</v>
      </c>
      <c r="Q56" s="9">
        <v>86.24091</v>
      </c>
      <c r="R56" s="9">
        <v>165.56695500000001</v>
      </c>
      <c r="S56" s="9">
        <v>163.262</v>
      </c>
      <c r="T56" s="9">
        <v>163.262</v>
      </c>
      <c r="U56" s="9">
        <v>163.262</v>
      </c>
      <c r="W56" s="2" t="s">
        <v>59</v>
      </c>
      <c r="X56" s="2"/>
      <c r="Y56" s="2"/>
    </row>
    <row r="57" spans="1:25" ht="21.75" customHeight="1">
      <c r="A57" s="86"/>
      <c r="B57" s="270" t="s">
        <v>60</v>
      </c>
      <c r="C57" s="270"/>
      <c r="D57" s="270"/>
      <c r="E57" s="270"/>
      <c r="F57" s="270"/>
      <c r="G57" s="270"/>
      <c r="H57" s="270"/>
      <c r="I57" s="270"/>
      <c r="J57" s="73"/>
      <c r="K57" s="6"/>
      <c r="L57" s="26"/>
      <c r="M57" s="51"/>
      <c r="N57" s="9"/>
      <c r="P57" s="71"/>
      <c r="Q57" s="9"/>
      <c r="R57" s="9"/>
      <c r="S57" s="9"/>
      <c r="T57" s="9"/>
      <c r="U57" s="9"/>
      <c r="W57" s="2"/>
      <c r="X57" s="2"/>
      <c r="Y57" s="2"/>
    </row>
    <row r="58" spans="1:25" ht="39.75" customHeight="1">
      <c r="A58" s="87">
        <v>2</v>
      </c>
      <c r="B58" s="111"/>
      <c r="C58" s="95" t="str">
        <f>B57</f>
        <v>OP2.3 Continuous learning and mentoring opportunities provided</v>
      </c>
      <c r="D58" s="95">
        <v>28</v>
      </c>
      <c r="E58" s="95" t="s">
        <v>61</v>
      </c>
      <c r="F58" s="139" t="s">
        <v>673</v>
      </c>
      <c r="G58" s="78"/>
      <c r="H58" s="78"/>
      <c r="I58" s="138">
        <f>970000/1000</f>
        <v>970</v>
      </c>
      <c r="J58" s="78"/>
      <c r="K58" s="8"/>
      <c r="L58" s="26"/>
      <c r="M58" s="51"/>
      <c r="N58" s="58">
        <v>490.07100000000003</v>
      </c>
      <c r="O58" s="5"/>
      <c r="P58" s="72">
        <v>220.74199999999999</v>
      </c>
      <c r="Q58" s="58">
        <v>269.32900000000001</v>
      </c>
      <c r="R58" s="58">
        <v>0</v>
      </c>
      <c r="S58" s="58">
        <v>0</v>
      </c>
      <c r="T58" s="58">
        <v>0</v>
      </c>
      <c r="U58" s="58">
        <v>0</v>
      </c>
      <c r="W58" s="1" t="s">
        <v>63</v>
      </c>
      <c r="Y58" s="1" t="s">
        <v>672</v>
      </c>
    </row>
    <row r="59" spans="1:25" ht="21.75" customHeight="1">
      <c r="A59" s="107" t="s">
        <v>674</v>
      </c>
      <c r="B59" s="125"/>
      <c r="C59" s="125"/>
      <c r="D59" s="125"/>
      <c r="E59" s="125"/>
      <c r="F59" s="126"/>
      <c r="G59" s="135">
        <f>SUM(G61:G63)</f>
        <v>0</v>
      </c>
      <c r="H59" s="135">
        <f>SUM(H61:H63)</f>
        <v>0</v>
      </c>
      <c r="I59" s="140" t="s">
        <v>145</v>
      </c>
      <c r="J59" s="76"/>
      <c r="K59" s="8"/>
      <c r="L59" s="47"/>
      <c r="M59" s="52"/>
      <c r="N59" s="130" t="s">
        <v>145</v>
      </c>
      <c r="O59" s="130"/>
      <c r="P59" s="131" t="s">
        <v>145</v>
      </c>
      <c r="Q59" s="130" t="s">
        <v>145</v>
      </c>
      <c r="R59" s="130" t="s">
        <v>145</v>
      </c>
      <c r="S59" s="130" t="s">
        <v>145</v>
      </c>
      <c r="T59" s="130" t="s">
        <v>145</v>
      </c>
      <c r="U59" s="130" t="s">
        <v>145</v>
      </c>
    </row>
    <row r="60" spans="1:25" ht="38.25" customHeight="1">
      <c r="A60" s="86"/>
      <c r="B60" s="269" t="s">
        <v>146</v>
      </c>
      <c r="C60" s="269"/>
      <c r="D60" s="269"/>
      <c r="E60" s="269"/>
      <c r="F60" s="269"/>
      <c r="G60" s="269"/>
      <c r="H60" s="269"/>
      <c r="I60" s="269"/>
      <c r="J60" s="137"/>
      <c r="K60" s="6"/>
      <c r="L60" s="26"/>
      <c r="M60" s="51"/>
      <c r="N60" s="124"/>
      <c r="P60" s="134"/>
      <c r="Q60" s="124"/>
      <c r="R60" s="124"/>
      <c r="S60" s="124"/>
      <c r="T60" s="124"/>
      <c r="U60" s="124"/>
      <c r="W60" s="2"/>
      <c r="X60" s="2"/>
      <c r="Y60" s="2"/>
    </row>
    <row r="61" spans="1:25" ht="24" customHeight="1">
      <c r="A61" s="87">
        <v>6</v>
      </c>
      <c r="B61" s="102"/>
      <c r="C61" s="92" t="str">
        <f>B60</f>
        <v>OP6.1 Standardised, interoperable and inclusive multi-hazard data produced, stored and shared with resilience partners</v>
      </c>
      <c r="D61" s="92"/>
      <c r="E61" s="92"/>
      <c r="F61" s="94" t="s">
        <v>147</v>
      </c>
      <c r="G61" s="43"/>
      <c r="H61" s="43"/>
      <c r="I61" s="43"/>
      <c r="J61" s="43"/>
      <c r="K61" s="8"/>
      <c r="L61" s="26"/>
      <c r="M61" s="51"/>
      <c r="N61" s="9"/>
      <c r="P61" s="71"/>
      <c r="Q61" s="9"/>
      <c r="R61" s="9"/>
      <c r="S61" s="9"/>
      <c r="T61" s="9"/>
      <c r="U61" s="9"/>
    </row>
    <row r="62" spans="1:25" ht="54.75" customHeight="1">
      <c r="A62" s="86"/>
      <c r="B62" s="270" t="s">
        <v>148</v>
      </c>
      <c r="C62" s="270"/>
      <c r="D62" s="270"/>
      <c r="E62" s="270"/>
      <c r="F62" s="270"/>
      <c r="G62" s="270"/>
      <c r="H62" s="270"/>
      <c r="I62" s="270"/>
      <c r="J62" s="73"/>
      <c r="K62" s="6"/>
      <c r="L62" s="26"/>
      <c r="M62" s="51"/>
      <c r="N62" s="9"/>
      <c r="P62" s="71"/>
      <c r="Q62" s="9"/>
      <c r="R62" s="9"/>
      <c r="S62" s="9"/>
      <c r="T62" s="9"/>
      <c r="U62" s="9"/>
      <c r="W62" s="2"/>
      <c r="X62" s="2"/>
      <c r="Y62" s="2"/>
    </row>
    <row r="63" spans="1:25" ht="24" customHeight="1" collapsed="1">
      <c r="A63" s="87">
        <v>6</v>
      </c>
      <c r="B63" s="112"/>
      <c r="C63" s="95" t="str">
        <f>B62</f>
        <v>OP6.2 Roles and responsibilities established for coordinating, updating, and reviewing hazard inputs into risk knowledge products, preparedness and response plans and procedures</v>
      </c>
      <c r="D63" s="95"/>
      <c r="E63" s="95"/>
      <c r="F63" s="113" t="s">
        <v>147</v>
      </c>
      <c r="G63" s="78"/>
      <c r="H63" s="78"/>
      <c r="I63" s="78"/>
      <c r="J63" s="78"/>
      <c r="K63" s="8"/>
      <c r="L63" s="26"/>
      <c r="M63" s="51"/>
      <c r="N63" s="58"/>
      <c r="P63" s="72"/>
      <c r="Q63" s="58"/>
      <c r="R63" s="58"/>
      <c r="S63" s="58"/>
      <c r="T63" s="58"/>
      <c r="U63" s="58"/>
    </row>
    <row r="64" spans="1:25" ht="17.25">
      <c r="A64" s="274" t="s">
        <v>149</v>
      </c>
      <c r="B64" s="274"/>
      <c r="C64" s="274"/>
      <c r="D64" s="274"/>
      <c r="E64" s="274"/>
      <c r="F64" s="274"/>
      <c r="G64" s="76">
        <v>330000</v>
      </c>
      <c r="H64" s="76">
        <v>3000000</v>
      </c>
      <c r="I64" s="77">
        <f>5560000/1000</f>
        <v>5560</v>
      </c>
      <c r="J64" s="76"/>
      <c r="K64" s="8"/>
      <c r="L64" s="25"/>
      <c r="M64" s="52"/>
      <c r="N64" s="141">
        <v>750</v>
      </c>
      <c r="O64" s="130" t="s">
        <v>645</v>
      </c>
      <c r="P64" s="131">
        <v>0</v>
      </c>
      <c r="Q64" s="130">
        <v>150</v>
      </c>
      <c r="R64" s="130">
        <v>150</v>
      </c>
      <c r="S64" s="130">
        <v>150</v>
      </c>
      <c r="T64" s="130">
        <v>150</v>
      </c>
      <c r="U64" s="130">
        <v>150</v>
      </c>
    </row>
    <row r="65" spans="1:21" ht="17.25">
      <c r="A65" s="142">
        <v>0</v>
      </c>
      <c r="B65" s="142"/>
      <c r="C65" s="143" t="s">
        <v>150</v>
      </c>
      <c r="D65" s="144" t="s">
        <v>151</v>
      </c>
      <c r="E65" s="144"/>
      <c r="F65" s="142" t="s">
        <v>150</v>
      </c>
      <c r="L65" s="26"/>
      <c r="M65" s="57">
        <f>SUMIF('Project Register'!E:E,'Implementation Plan V2 Sep25'!F65,'Project Register'!V:V)</f>
        <v>611540.85</v>
      </c>
      <c r="N65" s="124">
        <v>750</v>
      </c>
      <c r="O65" s="5" t="s">
        <v>645</v>
      </c>
      <c r="P65" s="134">
        <v>0</v>
      </c>
      <c r="Q65" s="124">
        <v>150</v>
      </c>
      <c r="R65" s="124">
        <v>150</v>
      </c>
      <c r="S65" s="124">
        <v>150</v>
      </c>
      <c r="T65" s="124">
        <v>150</v>
      </c>
      <c r="U65" s="124">
        <v>150</v>
      </c>
    </row>
    <row r="66" spans="1:21" ht="17.25">
      <c r="A66" s="114"/>
      <c r="B66" s="115"/>
      <c r="C66" s="115"/>
      <c r="D66" s="115"/>
      <c r="E66" s="115"/>
      <c r="F66" s="116" t="s">
        <v>152</v>
      </c>
      <c r="G66" s="56">
        <f>SUM(G2,G14,G24,G33,G47,G64)</f>
        <v>7710000</v>
      </c>
      <c r="H66" s="56">
        <f>SUM(H2,H14,H24,H33,H47,H64)</f>
        <v>40070000</v>
      </c>
      <c r="I66" s="247">
        <f>SUM(I2,I14,I24,I33,I47,I64)</f>
        <v>190950</v>
      </c>
      <c r="J66" s="248"/>
      <c r="K66" s="20"/>
      <c r="L66" s="249"/>
      <c r="M66" s="247">
        <f>SUM(M2,M14,M24,M33,M47,M59,M64)</f>
        <v>0</v>
      </c>
      <c r="N66" s="247">
        <f>SUM(N2,N14,N24,N33,N47,N59,N64)</f>
        <v>28611.608744871304</v>
      </c>
      <c r="O66" s="247" t="e">
        <f>IF(N66*1000=#REF!,"","error")</f>
        <v>#REF!</v>
      </c>
      <c r="P66" s="250">
        <f t="shared" ref="P66:U66" si="6">SUM(P2,P14,P24,P33,P47,P59,P64)</f>
        <v>4044.1051037681154</v>
      </c>
      <c r="Q66" s="247">
        <f t="shared" si="6"/>
        <v>5241.0801499944919</v>
      </c>
      <c r="R66" s="247">
        <f t="shared" si="6"/>
        <v>10270.334317195653</v>
      </c>
      <c r="S66" s="247">
        <f t="shared" si="6"/>
        <v>4169.4811739130437</v>
      </c>
      <c r="T66" s="247">
        <f t="shared" si="6"/>
        <v>2791.6729999999998</v>
      </c>
      <c r="U66" s="247">
        <f t="shared" si="6"/>
        <v>2094.9349999999999</v>
      </c>
    </row>
    <row r="67" spans="1:21" ht="17.25">
      <c r="F67" s="118"/>
      <c r="U67" s="1" t="str">
        <f>IF(SUM(P66:U66)=N66, "","error")</f>
        <v/>
      </c>
    </row>
    <row r="68" spans="1:21" ht="17.25">
      <c r="B68" s="117"/>
    </row>
  </sheetData>
  <sheetProtection sheet="1" objects="1" scenarios="1"/>
  <mergeCells count="22">
    <mergeCell ref="B57:I57"/>
    <mergeCell ref="B60:I60"/>
    <mergeCell ref="B62:I62"/>
    <mergeCell ref="A24:F24"/>
    <mergeCell ref="A64:F64"/>
    <mergeCell ref="A33:F33"/>
    <mergeCell ref="B51:B56"/>
    <mergeCell ref="B48:I48"/>
    <mergeCell ref="B50:I50"/>
    <mergeCell ref="B9:I9"/>
    <mergeCell ref="B11:I11"/>
    <mergeCell ref="B15:I15"/>
    <mergeCell ref="B17:I17"/>
    <mergeCell ref="B3:J3"/>
    <mergeCell ref="B4:B8"/>
    <mergeCell ref="B12:B13"/>
    <mergeCell ref="B18:B23"/>
    <mergeCell ref="B26:B31"/>
    <mergeCell ref="B37:B46"/>
    <mergeCell ref="B25:I25"/>
    <mergeCell ref="B34:I34"/>
    <mergeCell ref="B36:I36"/>
  </mergeCells>
  <phoneticPr fontId="4" type="noConversion"/>
  <conditionalFormatting sqref="L1:L1048576">
    <cfRule type="dataBar" priority="18">
      <dataBar>
        <cfvo type="min"/>
        <cfvo type="max"/>
        <color rgb="FF63C384"/>
      </dataBar>
      <extLst>
        <ext xmlns:x14="http://schemas.microsoft.com/office/spreadsheetml/2009/9/main" uri="{B025F937-C7B1-47D3-B67F-A62EFF666E3E}">
          <x14:id>{D5964B71-50F3-4726-BF66-5E351F191405}</x14:id>
        </ext>
      </extLst>
    </cfRule>
  </conditionalFormatting>
  <conditionalFormatting sqref="M1:N1 M67:N1048576">
    <cfRule type="cellIs" dxfId="2" priority="53" operator="equal">
      <formula>"Delayed"</formula>
    </cfRule>
    <cfRule type="cellIs" dxfId="1" priority="54" operator="equal">
      <formula>"Completed"</formula>
    </cfRule>
    <cfRule type="cellIs" dxfId="0" priority="55" operator="equal">
      <formula>"In progress"</formula>
    </cfRule>
  </conditionalFormatting>
  <dataValidations count="1">
    <dataValidation allowBlank="1" showInputMessage="1" showErrorMessage="1" promptTitle="Finance Code" prompt="This is a finance code. Max 99." sqref="D1:E1" xr:uid="{00000000-0002-0000-0700-000000000000}"/>
  </dataValidations>
  <pageMargins left="0.7" right="0.7" top="0.75" bottom="0.75" header="0.3" footer="0.3"/>
  <pageSetup paperSize="9" scale="56" orientation="portrait" r:id="rId1"/>
  <headerFooter>
    <oddHeader>&amp;C&amp;"Calibri"&amp;10&amp;KFF0000 OFFICIAL&amp;1#_x000D_</oddHeader>
    <oddFooter>&amp;C_x000D_&amp;1#&amp;"Calibri"&amp;10&amp;KFF0000 OFFICIAL</oddFooter>
  </headerFooter>
  <legacyDrawing r:id="rId2"/>
  <extLst>
    <ext xmlns:x14="http://schemas.microsoft.com/office/spreadsheetml/2009/9/main" uri="{78C0D931-6437-407d-A8EE-F0AAD7539E65}">
      <x14:conditionalFormattings>
        <x14:conditionalFormatting xmlns:xm="http://schemas.microsoft.com/office/excel/2006/main">
          <x14:cfRule type="dataBar" id="{D5964B71-50F3-4726-BF66-5E351F191405}">
            <x14:dataBar minLength="0" maxLength="100" border="1" negativeBarBorderColorSameAsPositive="0">
              <x14:cfvo type="autoMin"/>
              <x14:cfvo type="autoMax"/>
              <x14:borderColor rgb="FF63C384"/>
              <x14:negativeFillColor rgb="FFFF0000"/>
              <x14:negativeBorderColor rgb="FFFF0000"/>
              <x14:axisColor rgb="FF000000"/>
            </x14:dataBar>
          </x14:cfRule>
          <xm:sqref>L1:L1048576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B93D4149CF1F4A82E5E3E1C517E5E7" ma:contentTypeVersion="14" ma:contentTypeDescription="Create a new document." ma:contentTypeScope="" ma:versionID="8ad193fbfcbf4566f63298ea2daa23e7">
  <xsd:schema xmlns:xsd="http://www.w3.org/2001/XMLSchema" xmlns:xs="http://www.w3.org/2001/XMLSchema" xmlns:p="http://schemas.microsoft.com/office/2006/metadata/properties" xmlns:ns2="5c9379e0-c8fe-4c72-bd8d-06eab88b1c4d" xmlns:ns3="4600bc44-2015-4da8-875d-07b815e122b5" targetNamespace="http://schemas.microsoft.com/office/2006/metadata/properties" ma:root="true" ma:fieldsID="dfa26346bf4f8b207cd093a399659714" ns2:_="" ns3:_="">
    <xsd:import namespace="5c9379e0-c8fe-4c72-bd8d-06eab88b1c4d"/>
    <xsd:import namespace="4600bc44-2015-4da8-875d-07b815e12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Top_x0020_2_x0020_Data_x0020_Framework_x0020_Principl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379e0-c8fe-4c72-bd8d-06eab88b1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926c1b7-6265-4b08-9951-3c22af25e65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Top_x0020_2_x0020_Data_x0020_Framework_x0020_Principles" ma:index="21" nillable="true" ma:displayName="Top 2 Data Framework Principles" ma:format="Dropdown" ma:internalName="Top_x0020_2_x0020_Data_x0020_Framework_x0020_Principles">
      <xsd:complexType>
        <xsd:complexContent>
          <xsd:extension base="dms:MultiChoice">
            <xsd:sequence>
              <xsd:element name="Value" maxOccurs="unbounded" minOccurs="0" nillable="true">
                <xsd:simpleType>
                  <xsd:restriction base="dms:Choice">
                    <xsd:enumeration value="1. A Sustainable Financing and Asset Management Roadmap (Appendix B) and Improvement Strategies for each asset class are developed and updated at least every 5 years, to guide capability uplift and asset performance in the region."/>
                    <xsd:enumeration value="2.  Standardised regional technology for inter-operability and establish preferred supplier panel contracts for the Pacific, to streamline sharing of spares and maintenance resources, reduce cost and technical burden for countries through pooled regional solutions."/>
                    <xsd:enumeration value="3. Establish the Pacific MHEWS Asset Management Operational Fund and Investment Facility, to provide sustainable long-term pooled financing to operate and maintain critical regional assets, supplementing national budgets."/>
                    <xsd:enumeration value="4. Critical regional assets for MHEWS are agreed and identified as the Pacific Regional Observing Network (Appendix C) and is reviewed at least biennially. This includes enabling assets such as regional training centre, regional instrument centre, pacific WIS2 node and pacific integrated forecasting platform. GBON SOFF stations are a subset."/>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00bc44-2015-4da8-875d-07b815e122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10c851-c325-4e55-9a04-b815e3608e32}" ma:internalName="TaxCatchAll" ma:showField="CatchAllData" ma:web="4600bc44-2015-4da8-875d-07b815e12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00bc44-2015-4da8-875d-07b815e122b5" xsi:nil="true"/>
    <lcf76f155ced4ddcb4097134ff3c332f xmlns="5c9379e0-c8fe-4c72-bd8d-06eab88b1c4d">
      <Terms xmlns="http://schemas.microsoft.com/office/infopath/2007/PartnerControls"/>
    </lcf76f155ced4ddcb4097134ff3c332f>
    <Top_x0020_2_x0020_Data_x0020_Framework_x0020_Principles xmlns="5c9379e0-c8fe-4c72-bd8d-06eab88b1c4d" xsi:nil="true"/>
  </documentManagement>
</p:properties>
</file>

<file path=customXml/itemProps1.xml><?xml version="1.0" encoding="utf-8"?>
<ds:datastoreItem xmlns:ds="http://schemas.openxmlformats.org/officeDocument/2006/customXml" ds:itemID="{DB9014FD-4D6D-443E-894C-C8E318128D9A}"/>
</file>

<file path=customXml/itemProps2.xml><?xml version="1.0" encoding="utf-8"?>
<ds:datastoreItem xmlns:ds="http://schemas.openxmlformats.org/officeDocument/2006/customXml" ds:itemID="{94ED1E92-F312-42DE-B0AC-9927154A9B40}"/>
</file>

<file path=customXml/itemProps3.xml><?xml version="1.0" encoding="utf-8"?>
<ds:datastoreItem xmlns:ds="http://schemas.openxmlformats.org/officeDocument/2006/customXml" ds:itemID="{A40BDA7A-4307-4D56-B232-F56E15141F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Yeung</dc:creator>
  <cp:keywords/>
  <dc:description/>
  <cp:lastModifiedBy/>
  <cp:revision/>
  <dcterms:created xsi:type="dcterms:W3CDTF">2025-06-02T07:16:39Z</dcterms:created>
  <dcterms:modified xsi:type="dcterms:W3CDTF">2026-06-01T10:52:45Z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dad5e-85c4-4d99-839f-4db88ccef5c5_Enabled">
    <vt:lpwstr>true</vt:lpwstr>
  </property>
  <property fmtid="{D5CDD505-2E9C-101B-9397-08002B2CF9AE}" pid="3" name="MSIP_Label_55edad5e-85c4-4d99-839f-4db88ccef5c5_SetDate">
    <vt:lpwstr>2025-06-02T07:17:11Z</vt:lpwstr>
  </property>
  <property fmtid="{D5CDD505-2E9C-101B-9397-08002B2CF9AE}" pid="4" name="MSIP_Label_55edad5e-85c4-4d99-839f-4db88ccef5c5_Method">
    <vt:lpwstr>Standard</vt:lpwstr>
  </property>
  <property fmtid="{D5CDD505-2E9C-101B-9397-08002B2CF9AE}" pid="5" name="MSIP_Label_55edad5e-85c4-4d99-839f-4db88ccef5c5_Name">
    <vt:lpwstr>PSPF Official</vt:lpwstr>
  </property>
  <property fmtid="{D5CDD505-2E9C-101B-9397-08002B2CF9AE}" pid="6" name="MSIP_Label_55edad5e-85c4-4d99-839f-4db88ccef5c5_SiteId">
    <vt:lpwstr>d1ad7db5-97dd-4f2b-816e-50d663b7bb94</vt:lpwstr>
  </property>
  <property fmtid="{D5CDD505-2E9C-101B-9397-08002B2CF9AE}" pid="7" name="MSIP_Label_55edad5e-85c4-4d99-839f-4db88ccef5c5_ActionId">
    <vt:lpwstr>6fed0be3-188d-4abe-a2a4-b77d4dfd6705</vt:lpwstr>
  </property>
  <property fmtid="{D5CDD505-2E9C-101B-9397-08002B2CF9AE}" pid="8" name="MSIP_Label_55edad5e-85c4-4d99-839f-4db88ccef5c5_ContentBits">
    <vt:lpwstr>3</vt:lpwstr>
  </property>
  <property fmtid="{D5CDD505-2E9C-101B-9397-08002B2CF9AE}" pid="9" name="MSIP_Label_55edad5e-85c4-4d99-839f-4db88ccef5c5_Tag">
    <vt:lpwstr>10, 3, 0, 1</vt:lpwstr>
  </property>
  <property fmtid="{D5CDD505-2E9C-101B-9397-08002B2CF9AE}" pid="10" name="ContentTypeId">
    <vt:lpwstr>0x01010061B93D4149CF1F4A82E5E3E1C517E5E7</vt:lpwstr>
  </property>
  <property fmtid="{D5CDD505-2E9C-101B-9397-08002B2CF9AE}" pid="11" name="MediaServiceImageTags">
    <vt:lpwstr/>
  </property>
</Properties>
</file>