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becagroup.sharepoint.com/sites/project-75690/Shared Documents/Job Delivery/Technical - Working Files/Guidelines and Training/Training/Excel/"/>
    </mc:Choice>
  </mc:AlternateContent>
  <xr:revisionPtr revIDLastSave="34" documentId="8_{873FBD32-E0FD-4BD9-BB45-E0837722B04B}" xr6:coauthVersionLast="47" xr6:coauthVersionMax="47" xr10:uidLastSave="{F64981C7-B8A9-4B73-AECC-E372061FD8DE}"/>
  <workbookProtection workbookAlgorithmName="SHA-512" workbookHashValue="WK048OpU4ovfWR2XCSxFKx44wqKP9ELt9VjPcRZK9l8V47PG5HxPIQymMhnLdn5y1x7Ofi35WJgI4jkR/bcsxA==" workbookSaltValue="fVXndBEPELBGbv/3jW/lJQ==" workbookSpinCount="100000" lockStructure="1"/>
  <bookViews>
    <workbookView xWindow="28690" yWindow="-110" windowWidth="29020" windowHeight="15820" tabRatio="834" firstSheet="1" activeTab="2" xr2:uid="{FB52F2E9-CE9C-49B9-9994-B7064DF66390}"/>
  </bookViews>
  <sheets>
    <sheet name="Beca sign off" sheetId="22" state="hidden" r:id="rId1"/>
    <sheet name="Introduction" sheetId="14" r:id="rId2"/>
    <sheet name="Glossary" sheetId="47" r:id="rId3"/>
    <sheet name="Response Form" sheetId="29" r:id="rId4"/>
    <sheet name="View Results Report" sheetId="30" r:id="rId5"/>
    <sheet name="Blank for any user notes" sheetId="48" r:id="rId6"/>
    <sheet name="Backroom - VE Tables NEW" sheetId="49" state="hidden" r:id="rId7"/>
    <sheet name="Backroom - question input" sheetId="31" state="hidden" r:id="rId8"/>
    <sheet name="Backroom - question output calc" sheetId="32" state="hidden" r:id="rId9"/>
    <sheet name="Backroom - report content" sheetId="33" state="hidden" r:id="rId10"/>
    <sheet name="OLD - VE Tables" sheetId="35" state="hidden" r:id="rId11"/>
    <sheet name="Backroom - Risk Summaries" sheetId="46" state="hidden" r:id="rId12"/>
    <sheet name="Backroom - Risk Statements " sheetId="34" state="hidden" r:id="rId13"/>
    <sheet name="Backroom - VE Scoring" sheetId="37" state="hidden" r:id="rId14"/>
  </sheets>
  <definedNames>
    <definedName name="new_asset">#REF!</definedName>
    <definedName name="policy_or_plan">#REF!</definedName>
    <definedName name="_xlnm.Print_Area" localSheetId="5">'Blank for any user notes'!$A$1:$P$134</definedName>
    <definedName name="_xlnm.Print_Area" localSheetId="4">'View Results Report'!$B:$G</definedName>
    <definedName name="Project_or_programme">#REF!</definedName>
    <definedName name="renewal_or_upgrade">#REF!</definedName>
    <definedName name="typ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30" l="1"/>
  <c r="F21" i="29"/>
  <c r="B53" i="29" l="1"/>
  <c r="B70" i="29"/>
  <c r="AB86" i="49" a="1"/>
  <c r="AB86" i="49" s="1"/>
  <c r="U87" i="49" a="1"/>
  <c r="U87" i="49" s="1"/>
  <c r="U89" i="49" a="1"/>
  <c r="U89" i="49" s="1"/>
  <c r="V83" i="49" a="1"/>
  <c r="V83" i="49" s="1"/>
  <c r="V89" i="49" a="1"/>
  <c r="V89" i="49" s="1"/>
  <c r="V88" i="49" a="1"/>
  <c r="V88" i="49" s="1"/>
  <c r="M89" i="49" a="1"/>
  <c r="M89" i="49" s="1"/>
  <c r="K59" i="49"/>
  <c r="L59" i="49"/>
  <c r="M59" i="49"/>
  <c r="N59" i="49"/>
  <c r="O59" i="49"/>
  <c r="P59" i="49"/>
  <c r="Q59" i="49"/>
  <c r="R59" i="49"/>
  <c r="S59" i="49"/>
  <c r="T59" i="49"/>
  <c r="U59" i="49"/>
  <c r="V59" i="49"/>
  <c r="W59" i="49"/>
  <c r="X59" i="49"/>
  <c r="Y59" i="49"/>
  <c r="Z59" i="49"/>
  <c r="AA59" i="49"/>
  <c r="AB59" i="49"/>
  <c r="AC59" i="49"/>
  <c r="AD59" i="49"/>
  <c r="AE59" i="49"/>
  <c r="K60" i="49"/>
  <c r="K83" i="49" s="1" a="1"/>
  <c r="K83" i="49" s="1"/>
  <c r="L60" i="49"/>
  <c r="M60" i="49"/>
  <c r="N60" i="49"/>
  <c r="O60" i="49"/>
  <c r="P60" i="49"/>
  <c r="Q60" i="49"/>
  <c r="R60" i="49"/>
  <c r="S60" i="49"/>
  <c r="T60" i="49"/>
  <c r="U60" i="49"/>
  <c r="V60" i="49"/>
  <c r="W60" i="49"/>
  <c r="X60" i="49"/>
  <c r="Y60" i="49"/>
  <c r="Z60" i="49"/>
  <c r="AA60" i="49"/>
  <c r="AB60" i="49"/>
  <c r="AC60" i="49"/>
  <c r="AD60" i="49"/>
  <c r="AE60" i="49"/>
  <c r="K61" i="49"/>
  <c r="L61" i="49"/>
  <c r="M61" i="49"/>
  <c r="N61" i="49"/>
  <c r="N84" i="49" s="1" a="1"/>
  <c r="N84" i="49" s="1"/>
  <c r="O61" i="49"/>
  <c r="P61" i="49"/>
  <c r="Q61" i="49"/>
  <c r="R61" i="49"/>
  <c r="S61" i="49"/>
  <c r="T61" i="49"/>
  <c r="U61" i="49"/>
  <c r="V61" i="49"/>
  <c r="W61" i="49"/>
  <c r="X61" i="49"/>
  <c r="Y61" i="49"/>
  <c r="Z61" i="49"/>
  <c r="AA61" i="49"/>
  <c r="AB61" i="49"/>
  <c r="AC61" i="49"/>
  <c r="AD61" i="49"/>
  <c r="AE61" i="49"/>
  <c r="K62" i="49"/>
  <c r="L62" i="49"/>
  <c r="M62" i="49"/>
  <c r="N62" i="49"/>
  <c r="O62" i="49"/>
  <c r="P62" i="49"/>
  <c r="Q62" i="49"/>
  <c r="Q85" i="49" s="1" a="1"/>
  <c r="Q85" i="49" s="1"/>
  <c r="R62" i="49"/>
  <c r="S62" i="49"/>
  <c r="T62" i="49"/>
  <c r="U62" i="49"/>
  <c r="V62" i="49"/>
  <c r="W62" i="49"/>
  <c r="X62" i="49"/>
  <c r="Y62" i="49"/>
  <c r="Z62" i="49"/>
  <c r="AA62" i="49"/>
  <c r="AB62" i="49"/>
  <c r="AC62" i="49"/>
  <c r="AD62" i="49"/>
  <c r="AE62" i="49"/>
  <c r="K63" i="49"/>
  <c r="L63" i="49"/>
  <c r="L86" i="49" s="1" a="1"/>
  <c r="L86" i="49" s="1"/>
  <c r="M63" i="49"/>
  <c r="N63" i="49"/>
  <c r="O63" i="49"/>
  <c r="P63" i="49"/>
  <c r="Q63" i="49"/>
  <c r="R63" i="49"/>
  <c r="S63" i="49"/>
  <c r="T63" i="49"/>
  <c r="U63" i="49"/>
  <c r="V63" i="49"/>
  <c r="W63" i="49"/>
  <c r="X63" i="49"/>
  <c r="Y63" i="49"/>
  <c r="Z63" i="49"/>
  <c r="AA63" i="49"/>
  <c r="AB63" i="49"/>
  <c r="AC63" i="49"/>
  <c r="AD63" i="49"/>
  <c r="AE63" i="49"/>
  <c r="K64" i="49"/>
  <c r="L64" i="49"/>
  <c r="M64" i="49"/>
  <c r="N64" i="49"/>
  <c r="O64" i="49"/>
  <c r="O87" i="49" s="1" a="1"/>
  <c r="O87" i="49" s="1"/>
  <c r="P64" i="49"/>
  <c r="Q64" i="49"/>
  <c r="R64" i="49"/>
  <c r="S64" i="49"/>
  <c r="T64" i="49"/>
  <c r="U64" i="49"/>
  <c r="V64" i="49"/>
  <c r="W64" i="49"/>
  <c r="X64" i="49"/>
  <c r="Y64" i="49"/>
  <c r="Z64" i="49"/>
  <c r="AA64" i="49"/>
  <c r="AB64" i="49"/>
  <c r="AC64" i="49"/>
  <c r="AD64" i="49"/>
  <c r="AE64" i="49"/>
  <c r="K65" i="49"/>
  <c r="L65" i="49"/>
  <c r="M65" i="49"/>
  <c r="N65" i="49"/>
  <c r="O65" i="49"/>
  <c r="P65" i="49"/>
  <c r="Q65" i="49"/>
  <c r="R65" i="49"/>
  <c r="S65" i="49"/>
  <c r="T65" i="49"/>
  <c r="U65" i="49"/>
  <c r="V65" i="49"/>
  <c r="W65" i="49"/>
  <c r="X65" i="49"/>
  <c r="Y65" i="49"/>
  <c r="Z65" i="49"/>
  <c r="AA65" i="49"/>
  <c r="AB65" i="49"/>
  <c r="AC65" i="49"/>
  <c r="AD65" i="49"/>
  <c r="AE65" i="49"/>
  <c r="K66" i="49"/>
  <c r="L66" i="49"/>
  <c r="M66" i="49"/>
  <c r="N66" i="49"/>
  <c r="O66" i="49"/>
  <c r="P66" i="49"/>
  <c r="Q66" i="49"/>
  <c r="R66" i="49"/>
  <c r="S66" i="49"/>
  <c r="T66" i="49"/>
  <c r="U66" i="49"/>
  <c r="V66" i="49"/>
  <c r="W66" i="49"/>
  <c r="X66" i="49"/>
  <c r="Y66" i="49"/>
  <c r="Z66" i="49"/>
  <c r="AA66" i="49"/>
  <c r="AB66" i="49"/>
  <c r="AC66" i="49"/>
  <c r="AD66" i="49"/>
  <c r="AE66" i="49"/>
  <c r="K67" i="49"/>
  <c r="L67" i="49"/>
  <c r="M67" i="49"/>
  <c r="N67" i="49"/>
  <c r="O67" i="49"/>
  <c r="P67" i="49"/>
  <c r="P90" i="49" s="1" a="1"/>
  <c r="P90" i="49" s="1"/>
  <c r="Q67" i="49"/>
  <c r="R67" i="49"/>
  <c r="S67" i="49"/>
  <c r="T67" i="49"/>
  <c r="U67" i="49"/>
  <c r="V67" i="49"/>
  <c r="W67" i="49"/>
  <c r="X67" i="49"/>
  <c r="Y67" i="49"/>
  <c r="Z67" i="49"/>
  <c r="AA67" i="49"/>
  <c r="AB67" i="49"/>
  <c r="AC67" i="49"/>
  <c r="AD67" i="49"/>
  <c r="AE67" i="49"/>
  <c r="K68" i="49"/>
  <c r="K91" i="49" s="1" a="1"/>
  <c r="K91" i="49" s="1"/>
  <c r="L68" i="49"/>
  <c r="M68" i="49"/>
  <c r="N68" i="49"/>
  <c r="O68" i="49"/>
  <c r="P68" i="49"/>
  <c r="Q68" i="49"/>
  <c r="R68" i="49"/>
  <c r="S68" i="49"/>
  <c r="T68" i="49"/>
  <c r="U68" i="49"/>
  <c r="V68" i="49"/>
  <c r="W68" i="49"/>
  <c r="X68" i="49"/>
  <c r="Y68" i="49"/>
  <c r="Z68" i="49"/>
  <c r="AA68" i="49"/>
  <c r="AB68" i="49"/>
  <c r="AC68" i="49"/>
  <c r="AD68" i="49"/>
  <c r="AE68" i="49"/>
  <c r="K69" i="49"/>
  <c r="L69" i="49"/>
  <c r="M69" i="49"/>
  <c r="N69" i="49"/>
  <c r="N92" i="49" s="1" a="1"/>
  <c r="N92" i="49" s="1"/>
  <c r="O69" i="49"/>
  <c r="P69" i="49"/>
  <c r="Q69" i="49"/>
  <c r="R69" i="49"/>
  <c r="S69" i="49"/>
  <c r="T69" i="49"/>
  <c r="U69" i="49"/>
  <c r="V69" i="49"/>
  <c r="W69" i="49"/>
  <c r="X69" i="49"/>
  <c r="Y69" i="49"/>
  <c r="Z69" i="49"/>
  <c r="AA69" i="49"/>
  <c r="AB69" i="49"/>
  <c r="AC69" i="49"/>
  <c r="AD69" i="49"/>
  <c r="AE69" i="49"/>
  <c r="K70" i="49"/>
  <c r="L70" i="49"/>
  <c r="M70" i="49"/>
  <c r="N70" i="49"/>
  <c r="O70" i="49"/>
  <c r="P70" i="49"/>
  <c r="Q70" i="49"/>
  <c r="Q93" i="49" s="1" a="1"/>
  <c r="Q93" i="49" s="1"/>
  <c r="R70" i="49"/>
  <c r="S70" i="49"/>
  <c r="T70" i="49"/>
  <c r="U70" i="49"/>
  <c r="V70" i="49"/>
  <c r="W70" i="49"/>
  <c r="X70" i="49"/>
  <c r="Y70" i="49"/>
  <c r="Z70" i="49"/>
  <c r="AA70" i="49"/>
  <c r="AB70" i="49"/>
  <c r="AC70" i="49"/>
  <c r="AD70" i="49"/>
  <c r="AE70" i="49"/>
  <c r="K71" i="49"/>
  <c r="L71" i="49"/>
  <c r="L94" i="49" s="1" a="1"/>
  <c r="L94" i="49" s="1"/>
  <c r="M71" i="49"/>
  <c r="N71" i="49"/>
  <c r="O71" i="49"/>
  <c r="P71" i="49"/>
  <c r="Q71" i="49"/>
  <c r="R71" i="49"/>
  <c r="S71" i="49"/>
  <c r="T71" i="49"/>
  <c r="U71" i="49"/>
  <c r="V71" i="49"/>
  <c r="W71" i="49"/>
  <c r="X71" i="49"/>
  <c r="Y71" i="49"/>
  <c r="Z71" i="49"/>
  <c r="AA71" i="49"/>
  <c r="AB71" i="49"/>
  <c r="AC71" i="49"/>
  <c r="AD71" i="49"/>
  <c r="AE71" i="49"/>
  <c r="K72" i="49"/>
  <c r="L72" i="49"/>
  <c r="M72" i="49"/>
  <c r="N72" i="49"/>
  <c r="O72" i="49"/>
  <c r="O95" i="49" s="1" a="1"/>
  <c r="O95" i="49" s="1"/>
  <c r="P72" i="49"/>
  <c r="Q72" i="49"/>
  <c r="R72" i="49"/>
  <c r="S72" i="49"/>
  <c r="T72" i="49"/>
  <c r="U72" i="49"/>
  <c r="V72" i="49"/>
  <c r="W72" i="49"/>
  <c r="X72" i="49"/>
  <c r="Y72" i="49"/>
  <c r="Z72" i="49"/>
  <c r="AA72" i="49"/>
  <c r="AB72" i="49"/>
  <c r="AC72" i="49"/>
  <c r="AD72" i="49"/>
  <c r="AE72" i="49"/>
  <c r="K73" i="49"/>
  <c r="L73" i="49"/>
  <c r="M73" i="49"/>
  <c r="N73" i="49"/>
  <c r="O73" i="49"/>
  <c r="P73" i="49"/>
  <c r="Q73" i="49"/>
  <c r="R73" i="49"/>
  <c r="S73" i="49"/>
  <c r="T73" i="49"/>
  <c r="U73" i="49"/>
  <c r="V73" i="49"/>
  <c r="W73" i="49"/>
  <c r="X73" i="49"/>
  <c r="Y73" i="49"/>
  <c r="Z73" i="49"/>
  <c r="AA73" i="49"/>
  <c r="AB73" i="49"/>
  <c r="AC73" i="49"/>
  <c r="AD73" i="49"/>
  <c r="AE73" i="49"/>
  <c r="K74" i="49"/>
  <c r="L74" i="49"/>
  <c r="M74" i="49"/>
  <c r="N74" i="49"/>
  <c r="O74" i="49"/>
  <c r="P74" i="49"/>
  <c r="Q74" i="49"/>
  <c r="R74" i="49"/>
  <c r="S74" i="49"/>
  <c r="T74" i="49"/>
  <c r="U74" i="49"/>
  <c r="V74" i="49"/>
  <c r="W74" i="49"/>
  <c r="X74" i="49"/>
  <c r="Y74" i="49"/>
  <c r="Z74" i="49"/>
  <c r="AA74" i="49"/>
  <c r="AB74" i="49"/>
  <c r="AC74" i="49"/>
  <c r="AD74" i="49"/>
  <c r="AE74" i="49"/>
  <c r="K75" i="49"/>
  <c r="L75" i="49"/>
  <c r="M75" i="49"/>
  <c r="N75" i="49"/>
  <c r="O75" i="49"/>
  <c r="P75" i="49"/>
  <c r="P98" i="49" s="1" a="1"/>
  <c r="P98" i="49" s="1"/>
  <c r="Q75" i="49"/>
  <c r="R75" i="49"/>
  <c r="S75" i="49"/>
  <c r="T75" i="49"/>
  <c r="U75" i="49"/>
  <c r="V75" i="49"/>
  <c r="W75" i="49"/>
  <c r="X75" i="49"/>
  <c r="Y75" i="49"/>
  <c r="Z75" i="49"/>
  <c r="AA75" i="49"/>
  <c r="AB75" i="49"/>
  <c r="AC75" i="49"/>
  <c r="AD75" i="49"/>
  <c r="AE75" i="49"/>
  <c r="K76" i="49"/>
  <c r="K99" i="49" s="1" a="1"/>
  <c r="K99" i="49" s="1"/>
  <c r="L76" i="49"/>
  <c r="M76" i="49"/>
  <c r="N76" i="49"/>
  <c r="O76" i="49"/>
  <c r="P76" i="49"/>
  <c r="Q76" i="49"/>
  <c r="R76" i="49"/>
  <c r="S76" i="49"/>
  <c r="T76" i="49"/>
  <c r="U76" i="49"/>
  <c r="V76" i="49"/>
  <c r="W76" i="49"/>
  <c r="X76" i="49"/>
  <c r="Y76" i="49"/>
  <c r="Z76" i="49"/>
  <c r="AA76" i="49"/>
  <c r="AB76" i="49"/>
  <c r="AC76" i="49"/>
  <c r="AD76" i="49"/>
  <c r="AE76" i="49"/>
  <c r="K77" i="49"/>
  <c r="L77" i="49"/>
  <c r="M77" i="49"/>
  <c r="N77" i="49"/>
  <c r="N100" i="49" s="1" a="1"/>
  <c r="N100" i="49" s="1"/>
  <c r="O77" i="49"/>
  <c r="P77" i="49"/>
  <c r="Q77" i="49"/>
  <c r="R77" i="49"/>
  <c r="S77" i="49"/>
  <c r="T77" i="49"/>
  <c r="U77" i="49"/>
  <c r="V77" i="49"/>
  <c r="W77" i="49"/>
  <c r="X77" i="49"/>
  <c r="Y77" i="49"/>
  <c r="Z77" i="49"/>
  <c r="AA77" i="49"/>
  <c r="AB77" i="49"/>
  <c r="AC77" i="49"/>
  <c r="AD77" i="49"/>
  <c r="AE77" i="49"/>
  <c r="K78" i="49"/>
  <c r="L78" i="49"/>
  <c r="M78" i="49"/>
  <c r="N78" i="49"/>
  <c r="O78" i="49"/>
  <c r="P78" i="49"/>
  <c r="Q78" i="49"/>
  <c r="Q101" i="49" s="1" a="1"/>
  <c r="Q101" i="49" s="1"/>
  <c r="R78" i="49"/>
  <c r="S78" i="49"/>
  <c r="T78" i="49"/>
  <c r="U78" i="49"/>
  <c r="V78" i="49"/>
  <c r="W78" i="49"/>
  <c r="X78" i="49"/>
  <c r="Y78" i="49"/>
  <c r="Z78" i="49"/>
  <c r="AA78" i="49"/>
  <c r="AB78" i="49"/>
  <c r="AC78" i="49"/>
  <c r="AD78" i="49"/>
  <c r="AE78" i="49"/>
  <c r="K79" i="49"/>
  <c r="L79" i="49"/>
  <c r="L102" i="49" s="1" a="1"/>
  <c r="L102" i="49" s="1"/>
  <c r="M79" i="49"/>
  <c r="N79" i="49"/>
  <c r="O79" i="49"/>
  <c r="P79" i="49"/>
  <c r="Q79" i="49"/>
  <c r="R79" i="49"/>
  <c r="S79" i="49"/>
  <c r="T79" i="49"/>
  <c r="U79" i="49"/>
  <c r="V79" i="49"/>
  <c r="W79" i="49"/>
  <c r="X79" i="49"/>
  <c r="Y79" i="49"/>
  <c r="Z79" i="49"/>
  <c r="AA79" i="49"/>
  <c r="AB79" i="49"/>
  <c r="AC79" i="49"/>
  <c r="AD79" i="49"/>
  <c r="AE79" i="49"/>
  <c r="K80" i="49"/>
  <c r="L80" i="49"/>
  <c r="M80" i="49"/>
  <c r="N80" i="49"/>
  <c r="O80" i="49"/>
  <c r="O103" i="49" s="1" a="1"/>
  <c r="O103" i="49" s="1"/>
  <c r="P80" i="49"/>
  <c r="Q80" i="49"/>
  <c r="R80" i="49"/>
  <c r="S80" i="49"/>
  <c r="T80" i="49"/>
  <c r="U80" i="49"/>
  <c r="V80" i="49"/>
  <c r="W80" i="49"/>
  <c r="X80" i="49"/>
  <c r="Y80" i="49"/>
  <c r="Z80" i="49"/>
  <c r="AA80" i="49"/>
  <c r="AB80" i="49"/>
  <c r="AC80" i="49"/>
  <c r="AD80" i="49"/>
  <c r="AE80" i="49"/>
  <c r="L58" i="49"/>
  <c r="M58" i="49"/>
  <c r="N58" i="49"/>
  <c r="O58" i="49"/>
  <c r="P58" i="49"/>
  <c r="Q58" i="49"/>
  <c r="Q81" i="49" s="1" a="1"/>
  <c r="Q81" i="49" s="1"/>
  <c r="R58" i="49"/>
  <c r="S58" i="49"/>
  <c r="T58" i="49"/>
  <c r="U58" i="49"/>
  <c r="V58" i="49"/>
  <c r="W58" i="49"/>
  <c r="X58" i="49"/>
  <c r="Y58" i="49"/>
  <c r="Z58" i="49"/>
  <c r="AA58" i="49"/>
  <c r="AB58" i="49"/>
  <c r="AC58" i="49"/>
  <c r="AD58" i="49"/>
  <c r="AE58" i="49"/>
  <c r="K58" i="49"/>
  <c r="N90" i="49" a="1"/>
  <c r="N90" i="49" s="1"/>
  <c r="AB104" i="49" a="1"/>
  <c r="AB104" i="49" s="1"/>
  <c r="AE92" i="49" a="1"/>
  <c r="AE92" i="49" s="1"/>
  <c r="AC85" i="49" a="1"/>
  <c r="AC85" i="49" s="1"/>
  <c r="Z81" i="49" a="1"/>
  <c r="Z81" i="49" s="1"/>
  <c r="S150" i="49" a="1"/>
  <c r="S150" i="49" s="1"/>
  <c r="V127" i="49" a="1"/>
  <c r="V127" i="49" s="1"/>
  <c r="W117" i="49" a="1"/>
  <c r="W117" i="49" s="1"/>
  <c r="T109" i="49" a="1"/>
  <c r="T109" i="49" s="1"/>
  <c r="V108" i="49" a="1"/>
  <c r="V108" i="49" s="1"/>
  <c r="X106" i="49" a="1"/>
  <c r="X106" i="49" s="1"/>
  <c r="T106" i="49" a="1"/>
  <c r="T106" i="49" s="1"/>
  <c r="S104" i="49" a="1"/>
  <c r="S104" i="49" s="1"/>
  <c r="W103" i="49" a="1"/>
  <c r="W103" i="49" s="1"/>
  <c r="U103" i="49" a="1"/>
  <c r="U103" i="49" s="1"/>
  <c r="R101" i="49" a="1"/>
  <c r="R101" i="49" s="1"/>
  <c r="W100" i="49" a="1"/>
  <c r="W100" i="49" s="1"/>
  <c r="R100" i="49" a="1"/>
  <c r="R100" i="49" s="1"/>
  <c r="S99" i="49" a="1"/>
  <c r="S99" i="49" s="1"/>
  <c r="X98" i="49" a="1"/>
  <c r="X98" i="49" s="1"/>
  <c r="R98" i="49" a="1"/>
  <c r="R98" i="49" s="1"/>
  <c r="U96" i="49" a="1"/>
  <c r="U96" i="49" s="1"/>
  <c r="S96" i="49" a="1"/>
  <c r="S96" i="49" s="1"/>
  <c r="U95" i="49" a="1"/>
  <c r="U95" i="49" s="1"/>
  <c r="T95" i="49" a="1"/>
  <c r="T95" i="49" s="1"/>
  <c r="T94" i="49" a="1"/>
  <c r="T94" i="49" s="1"/>
  <c r="U93" i="49" a="1"/>
  <c r="U93" i="49" s="1"/>
  <c r="W92" i="49" a="1"/>
  <c r="W92" i="49" s="1"/>
  <c r="V91" i="49" a="1"/>
  <c r="V91" i="49" s="1"/>
  <c r="X89" i="49" a="1"/>
  <c r="X89" i="49" s="1"/>
  <c r="W88" i="49" a="1"/>
  <c r="W88" i="49" s="1"/>
  <c r="R88" i="49" a="1"/>
  <c r="R88" i="49" s="1"/>
  <c r="X87" i="49" a="1"/>
  <c r="X87" i="49" s="1"/>
  <c r="S87" i="49" a="1"/>
  <c r="S87" i="49" s="1"/>
  <c r="X86" i="49" a="1"/>
  <c r="X86" i="49" s="1"/>
  <c r="R86" i="49" a="1"/>
  <c r="R86" i="49" s="1"/>
  <c r="T85" i="49" a="1"/>
  <c r="T85" i="49" s="1"/>
  <c r="S84" i="49" a="1"/>
  <c r="S84" i="49" s="1"/>
  <c r="U83" i="49" a="1"/>
  <c r="U83" i="49" s="1"/>
  <c r="T83" i="49" a="1"/>
  <c r="T83" i="49" s="1"/>
  <c r="V82" i="49" a="1"/>
  <c r="V82" i="49" s="1"/>
  <c r="T82" i="49" a="1"/>
  <c r="T82" i="49" s="1"/>
  <c r="T81" i="49" a="1"/>
  <c r="T81" i="49" s="1"/>
  <c r="R81" i="49" a="1"/>
  <c r="R81" i="49" s="1"/>
  <c r="K3" i="31"/>
  <c r="K4" i="31"/>
  <c r="K5" i="31"/>
  <c r="K6" i="31"/>
  <c r="K7" i="31"/>
  <c r="K8" i="31"/>
  <c r="K9" i="31"/>
  <c r="K10" i="31"/>
  <c r="K2" i="31"/>
  <c r="I3" i="31"/>
  <c r="I4" i="31"/>
  <c r="I5" i="31"/>
  <c r="I6" i="31"/>
  <c r="I7" i="31"/>
  <c r="I8" i="31"/>
  <c r="I9" i="31"/>
  <c r="I10" i="31"/>
  <c r="I11" i="31"/>
  <c r="I12" i="31"/>
  <c r="I2" i="31"/>
  <c r="G4" i="31"/>
  <c r="G3" i="31"/>
  <c r="G2" i="31"/>
  <c r="O118" i="29"/>
  <c r="O80" i="29"/>
  <c r="C39" i="31"/>
  <c r="Q103" i="49" a="1"/>
  <c r="Q103" i="49" s="1"/>
  <c r="X103" i="49" s="1" a="1"/>
  <c r="X103" i="49" s="1"/>
  <c r="P103" i="49" a="1"/>
  <c r="P103" i="49" s="1"/>
  <c r="N103" i="49" a="1"/>
  <c r="N103" i="49" s="1"/>
  <c r="M103" i="49" a="1"/>
  <c r="M103" i="49" s="1"/>
  <c r="L103" i="49" a="1"/>
  <c r="L103" i="49" s="1"/>
  <c r="Q102" i="49" a="1"/>
  <c r="Q102" i="49" s="1"/>
  <c r="X102" i="49" s="1" a="1"/>
  <c r="X102" i="49" s="1"/>
  <c r="P102" i="49" a="1"/>
  <c r="P102" i="49" s="1"/>
  <c r="O102" i="49" a="1"/>
  <c r="O102" i="49" s="1"/>
  <c r="V102" i="49" s="1" a="1"/>
  <c r="V102" i="49" s="1"/>
  <c r="N102" i="49" a="1"/>
  <c r="N102" i="49" s="1"/>
  <c r="M102" i="49" a="1"/>
  <c r="M102" i="49" s="1"/>
  <c r="P101" i="49" a="1"/>
  <c r="P101" i="49" s="1"/>
  <c r="W101" i="49" s="1" a="1"/>
  <c r="W101" i="49" s="1"/>
  <c r="O101" i="49" a="1"/>
  <c r="O101" i="49" s="1"/>
  <c r="N101" i="49" a="1"/>
  <c r="N101" i="49" s="1"/>
  <c r="M101" i="49" a="1"/>
  <c r="M101" i="49" s="1"/>
  <c r="M124" i="49" s="1" a="1"/>
  <c r="M124" i="49" s="1"/>
  <c r="L101" i="49" a="1"/>
  <c r="L101" i="49" s="1"/>
  <c r="S101" i="49" s="1" a="1"/>
  <c r="S101" i="49" s="1"/>
  <c r="Q100" i="49" a="1"/>
  <c r="Q100" i="49" s="1"/>
  <c r="X100" i="49" s="1" a="1"/>
  <c r="X100" i="49" s="1"/>
  <c r="P100" i="49" a="1"/>
  <c r="P100" i="49" s="1"/>
  <c r="O100" i="49" a="1"/>
  <c r="O100" i="49" s="1"/>
  <c r="M100" i="49" a="1"/>
  <c r="M100" i="49" s="1"/>
  <c r="T100" i="49" s="1" a="1"/>
  <c r="T100" i="49" s="1"/>
  <c r="L100" i="49" a="1"/>
  <c r="L100" i="49" s="1"/>
  <c r="Q99" i="49" a="1"/>
  <c r="Q99" i="49" s="1"/>
  <c r="X99" i="49" s="1" a="1"/>
  <c r="X99" i="49" s="1"/>
  <c r="P99" i="49" a="1"/>
  <c r="P99" i="49" s="1"/>
  <c r="O99" i="49" a="1"/>
  <c r="O99" i="49" s="1"/>
  <c r="N99" i="49" a="1"/>
  <c r="N99" i="49" s="1"/>
  <c r="M99" i="49" a="1"/>
  <c r="M99" i="49" s="1"/>
  <c r="M122" i="49" s="1" a="1"/>
  <c r="M122" i="49" s="1"/>
  <c r="L99" i="49" a="1"/>
  <c r="L99" i="49" s="1"/>
  <c r="Q98" i="49" a="1"/>
  <c r="Q98" i="49" s="1"/>
  <c r="O98" i="49" a="1"/>
  <c r="O98" i="49" s="1"/>
  <c r="N98" i="49" a="1"/>
  <c r="N98" i="49" s="1"/>
  <c r="U98" i="49" s="1" a="1"/>
  <c r="U98" i="49" s="1"/>
  <c r="M98" i="49" a="1"/>
  <c r="M98" i="49" s="1"/>
  <c r="T98" i="49" s="1" a="1"/>
  <c r="T98" i="49" s="1"/>
  <c r="L98" i="49" a="1"/>
  <c r="L98" i="49" s="1"/>
  <c r="S98" i="49" s="1" a="1"/>
  <c r="S98" i="49" s="1"/>
  <c r="Q97" i="49" a="1"/>
  <c r="Q97" i="49" s="1"/>
  <c r="P97" i="49" a="1"/>
  <c r="P97" i="49" s="1"/>
  <c r="O97" i="49" a="1"/>
  <c r="O97" i="49" s="1"/>
  <c r="V97" i="49" s="1" a="1"/>
  <c r="V97" i="49" s="1"/>
  <c r="N97" i="49" a="1"/>
  <c r="N97" i="49" s="1"/>
  <c r="N120" i="49" s="1" a="1"/>
  <c r="N120" i="49" s="1"/>
  <c r="M97" i="49" a="1"/>
  <c r="M97" i="49" s="1"/>
  <c r="L97" i="49" a="1"/>
  <c r="L97" i="49" s="1"/>
  <c r="S97" i="49" s="1" a="1"/>
  <c r="S97" i="49" s="1"/>
  <c r="Q96" i="49" a="1"/>
  <c r="Q96" i="49" s="1"/>
  <c r="P96" i="49" a="1"/>
  <c r="P96" i="49" s="1"/>
  <c r="O96" i="49" a="1"/>
  <c r="O96" i="49" s="1"/>
  <c r="O119" i="49" s="1" a="1"/>
  <c r="O119" i="49" s="1"/>
  <c r="V119" i="49" s="1" a="1"/>
  <c r="V119" i="49" s="1"/>
  <c r="N96" i="49" a="1"/>
  <c r="N96" i="49" s="1"/>
  <c r="M96" i="49" a="1"/>
  <c r="M96" i="49" s="1"/>
  <c r="T96" i="49" s="1" a="1"/>
  <c r="T96" i="49" s="1"/>
  <c r="L96" i="49" a="1"/>
  <c r="L96" i="49" s="1"/>
  <c r="Q95" i="49" a="1"/>
  <c r="Q95" i="49" s="1"/>
  <c r="P95" i="49" a="1"/>
  <c r="P95" i="49" s="1"/>
  <c r="W95" i="49" s="1" a="1"/>
  <c r="W95" i="49" s="1"/>
  <c r="N95" i="49" a="1"/>
  <c r="N95" i="49" s="1"/>
  <c r="M95" i="49" a="1"/>
  <c r="M95" i="49" s="1"/>
  <c r="L95" i="49" a="1"/>
  <c r="L95" i="49" s="1"/>
  <c r="Q94" i="49" a="1"/>
  <c r="Q94" i="49" s="1"/>
  <c r="X94" i="49" s="1" a="1"/>
  <c r="X94" i="49" s="1"/>
  <c r="P94" i="49" a="1"/>
  <c r="P94" i="49" s="1"/>
  <c r="P117" i="49" s="1" a="1"/>
  <c r="P117" i="49" s="1"/>
  <c r="O94" i="49" a="1"/>
  <c r="O94" i="49" s="1"/>
  <c r="N94" i="49" a="1"/>
  <c r="N94" i="49" s="1"/>
  <c r="U94" i="49" s="1" a="1"/>
  <c r="U94" i="49" s="1"/>
  <c r="M94" i="49" a="1"/>
  <c r="M94" i="49" s="1"/>
  <c r="P93" i="49" a="1"/>
  <c r="P93" i="49" s="1"/>
  <c r="O93" i="49" a="1"/>
  <c r="O93" i="49" s="1"/>
  <c r="V93" i="49" s="1" a="1"/>
  <c r="V93" i="49" s="1"/>
  <c r="N93" i="49" a="1"/>
  <c r="N93" i="49" s="1"/>
  <c r="M93" i="49" a="1"/>
  <c r="M93" i="49" s="1"/>
  <c r="L93" i="49" a="1"/>
  <c r="L93" i="49" s="1"/>
  <c r="S93" i="49" s="1" a="1"/>
  <c r="S93" i="49" s="1"/>
  <c r="Q92" i="49" a="1"/>
  <c r="Q92" i="49" s="1"/>
  <c r="Q115" i="49" s="1" a="1"/>
  <c r="Q115" i="49" s="1"/>
  <c r="X115" i="49" s="1" a="1"/>
  <c r="X115" i="49" s="1"/>
  <c r="P92" i="49" a="1"/>
  <c r="P92" i="49" s="1"/>
  <c r="O92" i="49" a="1"/>
  <c r="O92" i="49" s="1"/>
  <c r="V92" i="49" s="1" a="1"/>
  <c r="V92" i="49" s="1"/>
  <c r="M92" i="49" a="1"/>
  <c r="M92" i="49" s="1"/>
  <c r="L92" i="49" a="1"/>
  <c r="L92" i="49" s="1"/>
  <c r="Q91" i="49" a="1"/>
  <c r="Q91" i="49" s="1"/>
  <c r="P91" i="49" a="1"/>
  <c r="P91" i="49" s="1"/>
  <c r="W91" i="49" s="1" a="1"/>
  <c r="W91" i="49" s="1"/>
  <c r="O91" i="49" a="1"/>
  <c r="O91" i="49" s="1"/>
  <c r="N91" i="49" a="1"/>
  <c r="N91" i="49" s="1"/>
  <c r="M91" i="49" a="1"/>
  <c r="M91" i="49" s="1"/>
  <c r="L91" i="49" a="1"/>
  <c r="L91" i="49" s="1"/>
  <c r="Q90" i="49" a="1"/>
  <c r="Q90" i="49" s="1"/>
  <c r="X90" i="49" s="1" a="1"/>
  <c r="X90" i="49" s="1"/>
  <c r="O90" i="49" a="1"/>
  <c r="O90" i="49" s="1"/>
  <c r="M90" i="49" a="1"/>
  <c r="M90" i="49" s="1"/>
  <c r="T90" i="49" s="1" a="1"/>
  <c r="T90" i="49" s="1"/>
  <c r="L90" i="49" a="1"/>
  <c r="L90" i="49" s="1"/>
  <c r="S90" i="49" s="1" a="1"/>
  <c r="S90" i="49" s="1"/>
  <c r="Q89" i="49" a="1"/>
  <c r="Q89" i="49" s="1"/>
  <c r="P89" i="49" a="1"/>
  <c r="P89" i="49" s="1"/>
  <c r="W89" i="49" s="1" a="1"/>
  <c r="W89" i="49" s="1"/>
  <c r="O89" i="49" a="1"/>
  <c r="O89" i="49" s="1"/>
  <c r="N89" i="49" a="1"/>
  <c r="N89" i="49" s="1"/>
  <c r="L89" i="49" a="1"/>
  <c r="L89" i="49" s="1"/>
  <c r="S89" i="49" s="1" a="1"/>
  <c r="S89" i="49" s="1"/>
  <c r="Q88" i="49" a="1"/>
  <c r="Q88" i="49" s="1"/>
  <c r="X88" i="49" s="1" a="1"/>
  <c r="X88" i="49" s="1"/>
  <c r="P88" i="49" a="1"/>
  <c r="P88" i="49" s="1"/>
  <c r="O88" i="49" a="1"/>
  <c r="O88" i="49" s="1"/>
  <c r="N88" i="49" a="1"/>
  <c r="N88" i="49" s="1"/>
  <c r="M88" i="49" a="1"/>
  <c r="M88" i="49" s="1"/>
  <c r="L88" i="49" a="1"/>
  <c r="L88" i="49" s="1"/>
  <c r="L111" i="49" s="1" a="1"/>
  <c r="L111" i="49" s="1"/>
  <c r="S111" i="49" s="1" a="1"/>
  <c r="S111" i="49" s="1"/>
  <c r="Q87" i="49" a="1"/>
  <c r="Q87" i="49" s="1"/>
  <c r="P87" i="49" a="1"/>
  <c r="P87" i="49" s="1"/>
  <c r="N87" i="49" a="1"/>
  <c r="N87" i="49" s="1"/>
  <c r="M87" i="49" a="1"/>
  <c r="M87" i="49" s="1"/>
  <c r="M110" i="49" s="1" a="1"/>
  <c r="M110" i="49" s="1"/>
  <c r="T110" i="49" s="1" a="1"/>
  <c r="T110" i="49" s="1"/>
  <c r="L87" i="49" a="1"/>
  <c r="L87" i="49" s="1"/>
  <c r="Q86" i="49" a="1"/>
  <c r="Q86" i="49" s="1"/>
  <c r="P86" i="49" a="1"/>
  <c r="P86" i="49" s="1"/>
  <c r="O86" i="49" a="1"/>
  <c r="O86" i="49" s="1"/>
  <c r="N86" i="49" a="1"/>
  <c r="N86" i="49" s="1"/>
  <c r="M86" i="49" a="1"/>
  <c r="M86" i="49" s="1"/>
  <c r="M109" i="49" s="1" a="1"/>
  <c r="M109" i="49" s="1"/>
  <c r="P85" i="49" a="1"/>
  <c r="P85" i="49" s="1"/>
  <c r="O85" i="49" a="1"/>
  <c r="O85" i="49" s="1"/>
  <c r="O108" i="49" s="1" a="1"/>
  <c r="O108" i="49" s="1"/>
  <c r="N85" i="49" a="1"/>
  <c r="N85" i="49" s="1"/>
  <c r="U85" i="49" s="1" a="1"/>
  <c r="U85" i="49" s="1"/>
  <c r="M85" i="49" a="1"/>
  <c r="M85" i="49" s="1"/>
  <c r="L85" i="49" a="1"/>
  <c r="L85" i="49" s="1"/>
  <c r="Q84" i="49" a="1"/>
  <c r="Q84" i="49" s="1"/>
  <c r="X84" i="49" s="1" a="1"/>
  <c r="X84" i="49" s="1"/>
  <c r="P84" i="49" a="1"/>
  <c r="P84" i="49" s="1"/>
  <c r="W84" i="49" s="1" a="1"/>
  <c r="W84" i="49" s="1"/>
  <c r="O84" i="49" a="1"/>
  <c r="O84" i="49" s="1"/>
  <c r="V84" i="49" s="1" a="1"/>
  <c r="V84" i="49" s="1"/>
  <c r="M84" i="49" a="1"/>
  <c r="M84" i="49" s="1"/>
  <c r="T84" i="49" s="1" a="1"/>
  <c r="T84" i="49" s="1"/>
  <c r="L84" i="49" a="1"/>
  <c r="L84" i="49" s="1"/>
  <c r="Q83" i="49" a="1"/>
  <c r="Q83" i="49" s="1"/>
  <c r="Q106" i="49" s="1" a="1"/>
  <c r="Q106" i="49" s="1"/>
  <c r="P83" i="49" a="1"/>
  <c r="P83" i="49" s="1"/>
  <c r="O83" i="49" a="1"/>
  <c r="O83" i="49" s="1"/>
  <c r="N83" i="49" a="1"/>
  <c r="N83" i="49" s="1"/>
  <c r="M83" i="49" a="1"/>
  <c r="M83" i="49" s="1"/>
  <c r="M106" i="49" s="1" a="1"/>
  <c r="M106" i="49" s="1"/>
  <c r="L83" i="49" a="1"/>
  <c r="L83" i="49" s="1"/>
  <c r="Q82" i="49" a="1"/>
  <c r="Q82" i="49" s="1"/>
  <c r="P82" i="49" a="1"/>
  <c r="P82" i="49" s="1"/>
  <c r="P105" i="49" s="1" a="1"/>
  <c r="P105" i="49" s="1"/>
  <c r="W105" i="49" s="1" a="1"/>
  <c r="W105" i="49" s="1"/>
  <c r="O82" i="49" a="1"/>
  <c r="O82" i="49" s="1"/>
  <c r="N82" i="49" a="1"/>
  <c r="N82" i="49" s="1"/>
  <c r="U82" i="49" s="1" a="1"/>
  <c r="U82" i="49" s="1"/>
  <c r="M82" i="49" a="1"/>
  <c r="M82" i="49" s="1"/>
  <c r="L82" i="49" a="1"/>
  <c r="L82" i="49" s="1"/>
  <c r="L105" i="49" s="1" a="1"/>
  <c r="L105" i="49" s="1"/>
  <c r="P81" i="49" a="1"/>
  <c r="P81" i="49" s="1"/>
  <c r="P104" i="49" s="1" a="1"/>
  <c r="P104" i="49" s="1"/>
  <c r="P127" i="49" s="1" a="1"/>
  <c r="P127" i="49" s="1"/>
  <c r="P150" i="49" s="1" a="1"/>
  <c r="P150" i="49" s="1"/>
  <c r="AD150" i="49" s="1" a="1"/>
  <c r="AD150" i="49" s="1"/>
  <c r="O81" i="49" a="1"/>
  <c r="O81" i="49" s="1"/>
  <c r="O104" i="49" s="1" a="1"/>
  <c r="O104" i="49" s="1"/>
  <c r="O127" i="49" s="1" a="1"/>
  <c r="O127" i="49" s="1"/>
  <c r="O150" i="49" s="1" a="1"/>
  <c r="O150" i="49" s="1"/>
  <c r="V150" i="49" s="1" a="1"/>
  <c r="V150" i="49" s="1"/>
  <c r="N81" i="49" a="1"/>
  <c r="N81" i="49" s="1"/>
  <c r="N104" i="49" s="1" a="1"/>
  <c r="N104" i="49" s="1"/>
  <c r="N127" i="49" s="1" a="1"/>
  <c r="N127" i="49" s="1"/>
  <c r="N150" i="49" s="1" a="1"/>
  <c r="N150" i="49" s="1"/>
  <c r="U150" i="49" s="1" a="1"/>
  <c r="U150" i="49" s="1"/>
  <c r="M81" i="49" a="1"/>
  <c r="M81" i="49" s="1"/>
  <c r="M104" i="49" s="1" a="1"/>
  <c r="M104" i="49" s="1"/>
  <c r="M127" i="49" s="1" a="1"/>
  <c r="M127" i="49" s="1"/>
  <c r="M150" i="49" s="1" a="1"/>
  <c r="M150" i="49" s="1"/>
  <c r="AA150" i="49" s="1" a="1"/>
  <c r="AA150" i="49" s="1"/>
  <c r="L81" i="49" a="1"/>
  <c r="L81" i="49" s="1"/>
  <c r="L104" i="49" s="1" a="1"/>
  <c r="L104" i="49" s="1"/>
  <c r="L127" i="49" s="1" a="1"/>
  <c r="L127" i="49" s="1"/>
  <c r="L150" i="49" s="1" a="1"/>
  <c r="L150" i="49" s="1"/>
  <c r="Z150" i="49" s="1" a="1"/>
  <c r="Z150" i="49" s="1"/>
  <c r="K103" i="49" a="1"/>
  <c r="K103" i="49" s="1"/>
  <c r="K102" i="49" a="1"/>
  <c r="K102" i="49" s="1"/>
  <c r="R102" i="49" s="1" a="1"/>
  <c r="R102" i="49" s="1"/>
  <c r="K101" i="49" a="1"/>
  <c r="K101" i="49" s="1"/>
  <c r="K100" i="49" a="1"/>
  <c r="K100" i="49" s="1"/>
  <c r="K98" i="49" a="1"/>
  <c r="K98" i="49" s="1"/>
  <c r="K97" i="49" a="1"/>
  <c r="K97" i="49" s="1"/>
  <c r="K96" i="49" a="1"/>
  <c r="K96" i="49" s="1"/>
  <c r="K95" i="49" a="1"/>
  <c r="K95" i="49" s="1"/>
  <c r="K94" i="49" a="1"/>
  <c r="K94" i="49" s="1"/>
  <c r="R94" i="49" s="1" a="1"/>
  <c r="R94" i="49" s="1"/>
  <c r="K93" i="49" a="1"/>
  <c r="K93" i="49" s="1"/>
  <c r="R93" i="49" s="1" a="1"/>
  <c r="R93" i="49" s="1"/>
  <c r="K92" i="49" a="1"/>
  <c r="K92" i="49" s="1"/>
  <c r="K115" i="49" s="1" a="1"/>
  <c r="K115" i="49" s="1"/>
  <c r="R115" i="49" s="1" a="1"/>
  <c r="R115" i="49" s="1"/>
  <c r="K90" i="49" a="1"/>
  <c r="K90" i="49" s="1"/>
  <c r="K113" i="49" s="1" a="1"/>
  <c r="K113" i="49" s="1"/>
  <c r="R113" i="49" s="1" a="1"/>
  <c r="R113" i="49" s="1"/>
  <c r="K89" i="49" a="1"/>
  <c r="K89" i="49" s="1"/>
  <c r="K88" i="49" a="1"/>
  <c r="K88" i="49" s="1"/>
  <c r="K87" i="49" a="1"/>
  <c r="K87" i="49" s="1"/>
  <c r="K86" i="49" a="1"/>
  <c r="K86" i="49" s="1"/>
  <c r="K85" i="49" a="1"/>
  <c r="K85" i="49" s="1"/>
  <c r="K108" i="49" s="1" a="1"/>
  <c r="K108" i="49" s="1"/>
  <c r="R108" i="49" s="1" a="1"/>
  <c r="R108" i="49" s="1"/>
  <c r="K84" i="49" a="1"/>
  <c r="K84" i="49" s="1"/>
  <c r="K82" i="49" a="1"/>
  <c r="K82" i="49" s="1"/>
  <c r="K81" i="49" a="1"/>
  <c r="K81" i="49" s="1"/>
  <c r="K104" i="49" s="1" a="1"/>
  <c r="K104" i="49" s="1"/>
  <c r="K127" i="49" s="1" a="1"/>
  <c r="K127" i="49" s="1"/>
  <c r="K150" i="49" s="1" a="1"/>
  <c r="K150" i="49" s="1"/>
  <c r="Y150" i="49" s="1" a="1"/>
  <c r="Y150" i="49" s="1"/>
  <c r="B49" i="30"/>
  <c r="B150" i="29"/>
  <c r="Q124" i="49" l="1" a="1"/>
  <c r="Q124" i="49" s="1"/>
  <c r="AE101" i="49" a="1"/>
  <c r="AE101" i="49" s="1"/>
  <c r="X101" i="49" a="1"/>
  <c r="X101" i="49" s="1"/>
  <c r="P121" i="49" a="1"/>
  <c r="P121" i="49" s="1"/>
  <c r="AD98" i="49" a="1"/>
  <c r="AD98" i="49" s="1"/>
  <c r="W98" i="49" a="1"/>
  <c r="W98" i="49" s="1"/>
  <c r="Q116" i="49" a="1"/>
  <c r="Q116" i="49" s="1"/>
  <c r="AE93" i="49" a="1"/>
  <c r="AE93" i="49" s="1"/>
  <c r="X93" i="49" a="1"/>
  <c r="X93" i="49" s="1"/>
  <c r="P113" i="49" a="1"/>
  <c r="P113" i="49" s="1"/>
  <c r="AD90" i="49" a="1"/>
  <c r="AD90" i="49" s="1"/>
  <c r="W90" i="49" a="1"/>
  <c r="W90" i="49" s="1"/>
  <c r="O110" i="49" a="1"/>
  <c r="O110" i="49" s="1"/>
  <c r="AC87" i="49" a="1"/>
  <c r="AC87" i="49" s="1"/>
  <c r="V87" i="49" a="1"/>
  <c r="V87" i="49" s="1"/>
  <c r="Q108" i="49" a="1"/>
  <c r="Q108" i="49" s="1"/>
  <c r="AE85" i="49" a="1"/>
  <c r="AE85" i="49" s="1"/>
  <c r="X85" i="49" a="1"/>
  <c r="X85" i="49" s="1"/>
  <c r="L125" i="49" a="1"/>
  <c r="L125" i="49" s="1"/>
  <c r="Z102" i="49" a="1"/>
  <c r="Z102" i="49" s="1"/>
  <c r="S102" i="49" a="1"/>
  <c r="S102" i="49" s="1"/>
  <c r="K122" i="49" a="1"/>
  <c r="K122" i="49" s="1"/>
  <c r="Y99" i="49" a="1"/>
  <c r="Y99" i="49" s="1"/>
  <c r="R99" i="49" a="1"/>
  <c r="R99" i="49" s="1"/>
  <c r="L117" i="49" a="1"/>
  <c r="L117" i="49" s="1"/>
  <c r="Z94" i="49" a="1"/>
  <c r="Z94" i="49" s="1"/>
  <c r="S94" i="49" a="1"/>
  <c r="S94" i="49" s="1"/>
  <c r="K114" i="49" a="1"/>
  <c r="K114" i="49" s="1"/>
  <c r="R91" i="49" a="1"/>
  <c r="R91" i="49" s="1"/>
  <c r="Y91" i="49" a="1"/>
  <c r="Y91" i="49" s="1"/>
  <c r="M112" i="49" a="1"/>
  <c r="M112" i="49" s="1"/>
  <c r="AA89" i="49" a="1"/>
  <c r="AA89" i="49" s="1"/>
  <c r="T89" i="49" a="1"/>
  <c r="T89" i="49" s="1"/>
  <c r="L109" i="49" a="1"/>
  <c r="L109" i="49" s="1"/>
  <c r="Z86" i="49" a="1"/>
  <c r="Z86" i="49" s="1"/>
  <c r="S86" i="49" a="1"/>
  <c r="S86" i="49" s="1"/>
  <c r="N107" i="49" a="1"/>
  <c r="N107" i="49" s="1"/>
  <c r="U84" i="49" a="1"/>
  <c r="U84" i="49" s="1"/>
  <c r="AB84" i="49" a="1"/>
  <c r="AB84" i="49" s="1"/>
  <c r="K106" i="49" a="1"/>
  <c r="K106" i="49" s="1"/>
  <c r="Y83" i="49" a="1"/>
  <c r="Y83" i="49" s="1"/>
  <c r="R83" i="49" a="1"/>
  <c r="R83" i="49" s="1"/>
  <c r="O126" i="49" a="1"/>
  <c r="O126" i="49" s="1"/>
  <c r="AC103" i="49" a="1"/>
  <c r="AC103" i="49" s="1"/>
  <c r="V103" i="49" a="1"/>
  <c r="V103" i="49" s="1"/>
  <c r="N123" i="49" a="1"/>
  <c r="N123" i="49" s="1"/>
  <c r="AB100" i="49" a="1"/>
  <c r="AB100" i="49" s="1"/>
  <c r="U100" i="49" a="1"/>
  <c r="U100" i="49" s="1"/>
  <c r="O118" i="49" a="1"/>
  <c r="O118" i="49" s="1"/>
  <c r="AC95" i="49" a="1"/>
  <c r="AC95" i="49" s="1"/>
  <c r="V95" i="49" a="1"/>
  <c r="V95" i="49" s="1"/>
  <c r="N115" i="49" a="1"/>
  <c r="N115" i="49" s="1"/>
  <c r="AB92" i="49" a="1"/>
  <c r="AB92" i="49" s="1"/>
  <c r="U92" i="49" a="1"/>
  <c r="U92" i="49" s="1"/>
  <c r="K110" i="49" a="1"/>
  <c r="K110" i="49" s="1"/>
  <c r="Y87" i="49" a="1"/>
  <c r="Y87" i="49" s="1"/>
  <c r="L108" i="49" a="1"/>
  <c r="L108" i="49" s="1"/>
  <c r="Z85" i="49" a="1"/>
  <c r="Z85" i="49" s="1"/>
  <c r="M116" i="49" a="1"/>
  <c r="M116" i="49" s="1"/>
  <c r="AA93" i="49" a="1"/>
  <c r="AA93" i="49" s="1"/>
  <c r="K111" i="49" a="1"/>
  <c r="K111" i="49" s="1"/>
  <c r="Y88" i="49" a="1"/>
  <c r="Y88" i="49" s="1"/>
  <c r="K119" i="49" a="1"/>
  <c r="K119" i="49" s="1"/>
  <c r="Y96" i="49" a="1"/>
  <c r="Y96" i="49" s="1"/>
  <c r="O105" i="49" a="1"/>
  <c r="O105" i="49" s="1"/>
  <c r="AC82" i="49" a="1"/>
  <c r="AC82" i="49" s="1"/>
  <c r="Q129" i="49" a="1"/>
  <c r="Q129" i="49" s="1"/>
  <c r="AE106" i="49" a="1"/>
  <c r="AE106" i="49" s="1"/>
  <c r="M108" i="49" a="1"/>
  <c r="M108" i="49" s="1"/>
  <c r="AA85" i="49" a="1"/>
  <c r="AA85" i="49" s="1"/>
  <c r="O109" i="49" a="1"/>
  <c r="O109" i="49" s="1"/>
  <c r="AC86" i="49" a="1"/>
  <c r="AC86" i="49" s="1"/>
  <c r="Q110" i="49" a="1"/>
  <c r="Q110" i="49" s="1"/>
  <c r="AE87" i="49" a="1"/>
  <c r="AE87" i="49" s="1"/>
  <c r="L115" i="49" a="1"/>
  <c r="L115" i="49" s="1"/>
  <c r="Z92" i="49" a="1"/>
  <c r="Z92" i="49" s="1"/>
  <c r="N116" i="49" a="1"/>
  <c r="N116" i="49" s="1"/>
  <c r="AB93" i="49" a="1"/>
  <c r="AB93" i="49" s="1"/>
  <c r="P140" i="49" a="1"/>
  <c r="P140" i="49" s="1"/>
  <c r="AD117" i="49" a="1"/>
  <c r="AD117" i="49" s="1"/>
  <c r="L119" i="49" a="1"/>
  <c r="L119" i="49" s="1"/>
  <c r="Z96" i="49" a="1"/>
  <c r="Z96" i="49" s="1"/>
  <c r="N143" i="49" a="1"/>
  <c r="N143" i="49" s="1"/>
  <c r="AB120" i="49" a="1"/>
  <c r="AB120" i="49" s="1"/>
  <c r="U120" i="49" a="1"/>
  <c r="U120" i="49" s="1"/>
  <c r="L123" i="49" a="1"/>
  <c r="L123" i="49" s="1"/>
  <c r="Z100" i="49" a="1"/>
  <c r="Z100" i="49" s="1"/>
  <c r="N124" i="49" a="1"/>
  <c r="N124" i="49" s="1"/>
  <c r="AB101" i="49" a="1"/>
  <c r="AB101" i="49" s="1"/>
  <c r="P125" i="49" a="1"/>
  <c r="P125" i="49" s="1"/>
  <c r="AD102" i="49" a="1"/>
  <c r="AD102" i="49" s="1"/>
  <c r="S85" i="49" a="1"/>
  <c r="S85" i="49" s="1"/>
  <c r="R87" i="49" a="1"/>
  <c r="R87" i="49" s="1"/>
  <c r="W102" i="49" a="1"/>
  <c r="W102" i="49" s="1"/>
  <c r="Y85" i="49" a="1"/>
  <c r="Y85" i="49" s="1"/>
  <c r="Y92" i="49" a="1"/>
  <c r="Y92" i="49" s="1"/>
  <c r="AA99" i="49" a="1"/>
  <c r="AA99" i="49" s="1"/>
  <c r="K126" i="49" a="1"/>
  <c r="K126" i="49" s="1"/>
  <c r="Y103" i="49" a="1"/>
  <c r="Y103" i="49" s="1"/>
  <c r="N109" i="49" a="1"/>
  <c r="N109" i="49" s="1"/>
  <c r="Q114" i="49" a="1"/>
  <c r="Q114" i="49" s="1"/>
  <c r="AE91" i="49" a="1"/>
  <c r="AE91" i="49" s="1"/>
  <c r="M120" i="49" a="1"/>
  <c r="M120" i="49" s="1"/>
  <c r="AA97" i="49" a="1"/>
  <c r="AA97" i="49" s="1"/>
  <c r="M147" i="49" a="1"/>
  <c r="M147" i="49" s="1"/>
  <c r="AA124" i="49" a="1"/>
  <c r="AA124" i="49" s="1"/>
  <c r="T124" i="49" a="1"/>
  <c r="T124" i="49" s="1"/>
  <c r="K112" i="49" a="1"/>
  <c r="K112" i="49" s="1"/>
  <c r="Y89" i="49" a="1"/>
  <c r="Y89" i="49" s="1"/>
  <c r="P109" i="49" a="1"/>
  <c r="P109" i="49" s="1"/>
  <c r="AD86" i="49" a="1"/>
  <c r="AD86" i="49" s="1"/>
  <c r="O116" i="49" a="1"/>
  <c r="O116" i="49" s="1"/>
  <c r="AC93" i="49" a="1"/>
  <c r="AC93" i="49" s="1"/>
  <c r="K136" i="49" a="1"/>
  <c r="K136" i="49" s="1"/>
  <c r="Y113" i="49" a="1"/>
  <c r="Y113" i="49" s="1"/>
  <c r="Q105" i="49" a="1"/>
  <c r="Q105" i="49" s="1"/>
  <c r="AE82" i="49" a="1"/>
  <c r="AE82" i="49" s="1"/>
  <c r="M107" i="49" a="1"/>
  <c r="M107" i="49" s="1"/>
  <c r="AA84" i="49" a="1"/>
  <c r="AA84" i="49" s="1"/>
  <c r="O131" i="49" a="1"/>
  <c r="O131" i="49" s="1"/>
  <c r="AC108" i="49" a="1"/>
  <c r="AC108" i="49" s="1"/>
  <c r="Q109" i="49" a="1"/>
  <c r="Q109" i="49" s="1"/>
  <c r="AE86" i="49" a="1"/>
  <c r="AE86" i="49" s="1"/>
  <c r="M111" i="49" a="1"/>
  <c r="M111" i="49" s="1"/>
  <c r="AA88" i="49" a="1"/>
  <c r="AA88" i="49" s="1"/>
  <c r="O112" i="49" a="1"/>
  <c r="O112" i="49" s="1"/>
  <c r="AC89" i="49" a="1"/>
  <c r="AC89" i="49" s="1"/>
  <c r="L114" i="49" a="1"/>
  <c r="L114" i="49" s="1"/>
  <c r="Z91" i="49" a="1"/>
  <c r="Z91" i="49" s="1"/>
  <c r="P116" i="49" a="1"/>
  <c r="P116" i="49" s="1"/>
  <c r="AD93" i="49" a="1"/>
  <c r="AD93" i="49" s="1"/>
  <c r="L118" i="49" a="1"/>
  <c r="L118" i="49" s="1"/>
  <c r="Z95" i="49" a="1"/>
  <c r="Z95" i="49" s="1"/>
  <c r="N119" i="49" a="1"/>
  <c r="N119" i="49" s="1"/>
  <c r="AB96" i="49" a="1"/>
  <c r="AB96" i="49" s="1"/>
  <c r="P120" i="49" a="1"/>
  <c r="P120" i="49" s="1"/>
  <c r="AD97" i="49" a="1"/>
  <c r="AD97" i="49" s="1"/>
  <c r="L122" i="49" a="1"/>
  <c r="L122" i="49" s="1"/>
  <c r="Z99" i="49" a="1"/>
  <c r="Z99" i="49" s="1"/>
  <c r="P124" i="49" a="1"/>
  <c r="P124" i="49" s="1"/>
  <c r="AD101" i="49" a="1"/>
  <c r="AD101" i="49" s="1"/>
  <c r="L126" i="49" a="1"/>
  <c r="L126" i="49" s="1"/>
  <c r="Z103" i="49" a="1"/>
  <c r="Z103" i="49" s="1"/>
  <c r="W82" i="49" a="1"/>
  <c r="W82" i="49" s="1"/>
  <c r="T86" i="49" a="1"/>
  <c r="T86" i="49" s="1"/>
  <c r="T87" i="49" a="1"/>
  <c r="T87" i="49" s="1"/>
  <c r="S88" i="49" a="1"/>
  <c r="S88" i="49" s="1"/>
  <c r="R90" i="49" a="1"/>
  <c r="R90" i="49" s="1"/>
  <c r="X92" i="49" a="1"/>
  <c r="X92" i="49" s="1"/>
  <c r="W93" i="49" a="1"/>
  <c r="W93" i="49" s="1"/>
  <c r="W94" i="49" a="1"/>
  <c r="W94" i="49" s="1"/>
  <c r="U97" i="49" a="1"/>
  <c r="U97" i="49" s="1"/>
  <c r="T99" i="49" a="1"/>
  <c r="T99" i="49" s="1"/>
  <c r="S100" i="49" a="1"/>
  <c r="S100" i="49" s="1"/>
  <c r="AA86" i="49" a="1"/>
  <c r="AA86" i="49" s="1"/>
  <c r="P106" i="49" a="1"/>
  <c r="P106" i="49" s="1"/>
  <c r="AD83" i="49" a="1"/>
  <c r="AD83" i="49" s="1"/>
  <c r="O113" i="49" a="1"/>
  <c r="O113" i="49" s="1"/>
  <c r="AC90" i="49" a="1"/>
  <c r="AC90" i="49" s="1"/>
  <c r="Q118" i="49" a="1"/>
  <c r="Q118" i="49" s="1"/>
  <c r="AE95" i="49" a="1"/>
  <c r="AE95" i="49" s="1"/>
  <c r="O121" i="49" a="1"/>
  <c r="O121" i="49" s="1"/>
  <c r="AC98" i="49" a="1"/>
  <c r="AC98" i="49" s="1"/>
  <c r="Q126" i="49" a="1"/>
  <c r="Q126" i="49" s="1"/>
  <c r="AE103" i="49" a="1"/>
  <c r="AE103" i="49" s="1"/>
  <c r="L107" i="49" a="1"/>
  <c r="L107" i="49" s="1"/>
  <c r="Z84" i="49" a="1"/>
  <c r="Z84" i="49" s="1"/>
  <c r="R89" i="49" a="1"/>
  <c r="R89" i="49" s="1"/>
  <c r="K105" i="49" a="1"/>
  <c r="K105" i="49" s="1"/>
  <c r="Y82" i="49" a="1"/>
  <c r="Y82" i="49" s="1"/>
  <c r="K121" i="49" a="1"/>
  <c r="K121" i="49" s="1"/>
  <c r="Y98" i="49" a="1"/>
  <c r="Y98" i="49" s="1"/>
  <c r="L106" i="49" a="1"/>
  <c r="L106" i="49" s="1"/>
  <c r="Z83" i="49" a="1"/>
  <c r="Z83" i="49" s="1"/>
  <c r="P108" i="49" a="1"/>
  <c r="P108" i="49" s="1"/>
  <c r="AD85" i="49" a="1"/>
  <c r="AD85" i="49" s="1"/>
  <c r="L110" i="49" a="1"/>
  <c r="L110" i="49" s="1"/>
  <c r="Z87" i="49" a="1"/>
  <c r="Z87" i="49" s="1"/>
  <c r="N111" i="49" a="1"/>
  <c r="N111" i="49" s="1"/>
  <c r="AB88" i="49" a="1"/>
  <c r="AB88" i="49" s="1"/>
  <c r="P112" i="49" a="1"/>
  <c r="P112" i="49" s="1"/>
  <c r="AD89" i="49" a="1"/>
  <c r="AD89" i="49" s="1"/>
  <c r="M114" i="49" a="1"/>
  <c r="M114" i="49" s="1"/>
  <c r="AA91" i="49" a="1"/>
  <c r="AA91" i="49" s="1"/>
  <c r="O115" i="49" a="1"/>
  <c r="O115" i="49" s="1"/>
  <c r="AC92" i="49" a="1"/>
  <c r="AC92" i="49" s="1"/>
  <c r="M118" i="49" a="1"/>
  <c r="M118" i="49" s="1"/>
  <c r="AA95" i="49" a="1"/>
  <c r="AA95" i="49" s="1"/>
  <c r="O142" i="49" a="1"/>
  <c r="O142" i="49" s="1"/>
  <c r="AC119" i="49" a="1"/>
  <c r="AC119" i="49" s="1"/>
  <c r="Q120" i="49" a="1"/>
  <c r="Q120" i="49" s="1"/>
  <c r="AE97" i="49" a="1"/>
  <c r="AE97" i="49" s="1"/>
  <c r="M145" i="49" a="1"/>
  <c r="M145" i="49" s="1"/>
  <c r="AA122" i="49" a="1"/>
  <c r="AA122" i="49" s="1"/>
  <c r="T122" i="49" a="1"/>
  <c r="T122" i="49" s="1"/>
  <c r="O123" i="49" a="1"/>
  <c r="O123" i="49" s="1"/>
  <c r="AC100" i="49" a="1"/>
  <c r="AC100" i="49" s="1"/>
  <c r="M126" i="49" a="1"/>
  <c r="M126" i="49" s="1"/>
  <c r="AA103" i="49" a="1"/>
  <c r="AA103" i="49" s="1"/>
  <c r="W83" i="49" a="1"/>
  <c r="W83" i="49" s="1"/>
  <c r="V85" i="49" a="1"/>
  <c r="V85" i="49" s="1"/>
  <c r="U86" i="49" a="1"/>
  <c r="U86" i="49" s="1"/>
  <c r="T88" i="49" a="1"/>
  <c r="T88" i="49" s="1"/>
  <c r="S91" i="49" a="1"/>
  <c r="S91" i="49" s="1"/>
  <c r="R92" i="49" a="1"/>
  <c r="R92" i="49" s="1"/>
  <c r="V96" i="49" a="1"/>
  <c r="V96" i="49" s="1"/>
  <c r="R103" i="49" a="1"/>
  <c r="R103" i="49" s="1"/>
  <c r="Z82" i="49" a="1"/>
  <c r="Z82" i="49" s="1"/>
  <c r="AA87" i="49" a="1"/>
  <c r="AA87" i="49" s="1"/>
  <c r="AD94" i="49" a="1"/>
  <c r="AD94" i="49" s="1"/>
  <c r="N105" i="49" a="1"/>
  <c r="N105" i="49" s="1"/>
  <c r="AB82" i="49" a="1"/>
  <c r="AB82" i="49" s="1"/>
  <c r="P110" i="49" a="1"/>
  <c r="P110" i="49" s="1"/>
  <c r="AD87" i="49" a="1"/>
  <c r="AD87" i="49" s="1"/>
  <c r="O117" i="49" a="1"/>
  <c r="O117" i="49" s="1"/>
  <c r="AC94" i="49" a="1"/>
  <c r="AC94" i="49" s="1"/>
  <c r="Q122" i="49" a="1"/>
  <c r="Q122" i="49" s="1"/>
  <c r="AE99" i="49" a="1"/>
  <c r="AE99" i="49" s="1"/>
  <c r="P128" i="49" a="1"/>
  <c r="P128" i="49" s="1"/>
  <c r="AD105" i="49" a="1"/>
  <c r="AD105" i="49" s="1"/>
  <c r="N112" i="49" a="1"/>
  <c r="N112" i="49" s="1"/>
  <c r="AB89" i="49" a="1"/>
  <c r="AB89" i="49" s="1"/>
  <c r="M115" i="49" a="1"/>
  <c r="M115" i="49" s="1"/>
  <c r="AA92" i="49" a="1"/>
  <c r="AA92" i="49" s="1"/>
  <c r="M119" i="49" a="1"/>
  <c r="M119" i="49" s="1"/>
  <c r="AA96" i="49" a="1"/>
  <c r="AA96" i="49" s="1"/>
  <c r="M123" i="49" a="1"/>
  <c r="M123" i="49" s="1"/>
  <c r="AA100" i="49" a="1"/>
  <c r="AA100" i="49" s="1"/>
  <c r="O124" i="49" a="1"/>
  <c r="O124" i="49" s="1"/>
  <c r="AC101" i="49" a="1"/>
  <c r="AC101" i="49" s="1"/>
  <c r="AA101" i="49" a="1"/>
  <c r="AA101" i="49" s="1"/>
  <c r="K107" i="49" a="1"/>
  <c r="K107" i="49" s="1"/>
  <c r="Y84" i="49" a="1"/>
  <c r="Y84" i="49" s="1"/>
  <c r="K138" i="49" a="1"/>
  <c r="K138" i="49" s="1"/>
  <c r="Y115" i="49" a="1"/>
  <c r="Y115" i="49" s="1"/>
  <c r="K123" i="49" a="1"/>
  <c r="K123" i="49" s="1"/>
  <c r="Y100" i="49" a="1"/>
  <c r="Y100" i="49" s="1"/>
  <c r="M129" i="49" a="1"/>
  <c r="M129" i="49" s="1"/>
  <c r="AA106" i="49" a="1"/>
  <c r="AA106" i="49" s="1"/>
  <c r="O107" i="49" a="1"/>
  <c r="O107" i="49" s="1"/>
  <c r="AC84" i="49" a="1"/>
  <c r="AC84" i="49" s="1"/>
  <c r="M133" i="49" a="1"/>
  <c r="M133" i="49" s="1"/>
  <c r="AA110" i="49" a="1"/>
  <c r="AA110" i="49" s="1"/>
  <c r="O111" i="49" a="1"/>
  <c r="O111" i="49" s="1"/>
  <c r="AC88" i="49" a="1"/>
  <c r="AC88" i="49" s="1"/>
  <c r="Q112" i="49" a="1"/>
  <c r="Q112" i="49" s="1"/>
  <c r="AE89" i="49" a="1"/>
  <c r="AE89" i="49" s="1"/>
  <c r="N114" i="49" a="1"/>
  <c r="N114" i="49" s="1"/>
  <c r="AB91" i="49" a="1"/>
  <c r="AB91" i="49" s="1"/>
  <c r="P115" i="49" a="1"/>
  <c r="P115" i="49" s="1"/>
  <c r="AD92" i="49" a="1"/>
  <c r="AD92" i="49" s="1"/>
  <c r="N118" i="49" a="1"/>
  <c r="N118" i="49" s="1"/>
  <c r="AB95" i="49" a="1"/>
  <c r="AB95" i="49" s="1"/>
  <c r="P119" i="49" a="1"/>
  <c r="P119" i="49" s="1"/>
  <c r="AD96" i="49" a="1"/>
  <c r="AD96" i="49" s="1"/>
  <c r="L121" i="49" a="1"/>
  <c r="L121" i="49" s="1"/>
  <c r="Z98" i="49" a="1"/>
  <c r="Z98" i="49" s="1"/>
  <c r="N122" i="49" a="1"/>
  <c r="N122" i="49" s="1"/>
  <c r="AB99" i="49" a="1"/>
  <c r="AB99" i="49" s="1"/>
  <c r="P123" i="49" a="1"/>
  <c r="P123" i="49" s="1"/>
  <c r="AD100" i="49" a="1"/>
  <c r="AD100" i="49" s="1"/>
  <c r="N126" i="49" a="1"/>
  <c r="N126" i="49" s="1"/>
  <c r="AB103" i="49" a="1"/>
  <c r="AB103" i="49" s="1"/>
  <c r="R82" i="49" a="1"/>
  <c r="R82" i="49" s="1"/>
  <c r="X82" i="49" a="1"/>
  <c r="X82" i="49" s="1"/>
  <c r="X83" i="49" a="1"/>
  <c r="X83" i="49" s="1"/>
  <c r="V86" i="49" a="1"/>
  <c r="V86" i="49" s="1"/>
  <c r="U88" i="49" a="1"/>
  <c r="U88" i="49" s="1"/>
  <c r="T91" i="49" a="1"/>
  <c r="T91" i="49" s="1"/>
  <c r="S92" i="49" a="1"/>
  <c r="S92" i="49" s="1"/>
  <c r="X95" i="49" a="1"/>
  <c r="X95" i="49" s="1"/>
  <c r="W96" i="49" a="1"/>
  <c r="W96" i="49" s="1"/>
  <c r="V98" i="49" a="1"/>
  <c r="V98" i="49" s="1"/>
  <c r="U99" i="49" a="1"/>
  <c r="U99" i="49" s="1"/>
  <c r="T101" i="49" a="1"/>
  <c r="T101" i="49" s="1"/>
  <c r="S103" i="49" a="1"/>
  <c r="S103" i="49" s="1"/>
  <c r="AD82" i="49" a="1"/>
  <c r="AD82" i="49" s="1"/>
  <c r="Z88" i="49" a="1"/>
  <c r="Z88" i="49" s="1"/>
  <c r="K118" i="49" a="1"/>
  <c r="K118" i="49" s="1"/>
  <c r="Y95" i="49" a="1"/>
  <c r="Y95" i="49" s="1"/>
  <c r="L112" i="49" a="1"/>
  <c r="L112" i="49" s="1"/>
  <c r="Z89" i="49" a="1"/>
  <c r="Z89" i="49" s="1"/>
  <c r="K120" i="49" a="1"/>
  <c r="K120" i="49" s="1"/>
  <c r="Y97" i="49" a="1"/>
  <c r="Y97" i="49" s="1"/>
  <c r="N108" i="49" a="1"/>
  <c r="N108" i="49" s="1"/>
  <c r="AB85" i="49" a="1"/>
  <c r="AB85" i="49" s="1"/>
  <c r="Q113" i="49" a="1"/>
  <c r="Q113" i="49" s="1"/>
  <c r="AE90" i="49" a="1"/>
  <c r="AE90" i="49" s="1"/>
  <c r="Q117" i="49" a="1"/>
  <c r="Q117" i="49" s="1"/>
  <c r="AE94" i="49" a="1"/>
  <c r="AE94" i="49" s="1"/>
  <c r="O120" i="49" a="1"/>
  <c r="O120" i="49" s="1"/>
  <c r="AC97" i="49" a="1"/>
  <c r="AC97" i="49" s="1"/>
  <c r="Q121" i="49" a="1"/>
  <c r="Q121" i="49" s="1"/>
  <c r="AE98" i="49" a="1"/>
  <c r="AE98" i="49" s="1"/>
  <c r="Q125" i="49" a="1"/>
  <c r="Q125" i="49" s="1"/>
  <c r="AE102" i="49" a="1"/>
  <c r="AE102" i="49" s="1"/>
  <c r="T97" i="49" a="1"/>
  <c r="T97" i="49" s="1"/>
  <c r="K131" i="49" a="1"/>
  <c r="K131" i="49" s="1"/>
  <c r="Y108" i="49" a="1"/>
  <c r="Y108" i="49" s="1"/>
  <c r="K116" i="49" a="1"/>
  <c r="K116" i="49" s="1"/>
  <c r="Y93" i="49" a="1"/>
  <c r="Y93" i="49" s="1"/>
  <c r="K124" i="49" a="1"/>
  <c r="K124" i="49" s="1"/>
  <c r="Y101" i="49" a="1"/>
  <c r="Y101" i="49" s="1"/>
  <c r="L128" i="49" a="1"/>
  <c r="L128" i="49" s="1"/>
  <c r="Z105" i="49" a="1"/>
  <c r="Z105" i="49" s="1"/>
  <c r="N106" i="49" a="1"/>
  <c r="N106" i="49" s="1"/>
  <c r="AB83" i="49" a="1"/>
  <c r="AB83" i="49" s="1"/>
  <c r="P107" i="49" a="1"/>
  <c r="P107" i="49" s="1"/>
  <c r="AD84" i="49" a="1"/>
  <c r="AD84" i="49" s="1"/>
  <c r="N110" i="49" a="1"/>
  <c r="N110" i="49" s="1"/>
  <c r="AB87" i="49" a="1"/>
  <c r="AB87" i="49" s="1"/>
  <c r="P111" i="49" a="1"/>
  <c r="P111" i="49" s="1"/>
  <c r="AD88" i="49" a="1"/>
  <c r="AD88" i="49" s="1"/>
  <c r="L113" i="49" a="1"/>
  <c r="L113" i="49" s="1"/>
  <c r="Z90" i="49" a="1"/>
  <c r="Z90" i="49" s="1"/>
  <c r="O114" i="49" a="1"/>
  <c r="O114" i="49" s="1"/>
  <c r="AC91" i="49" a="1"/>
  <c r="AC91" i="49" s="1"/>
  <c r="Q138" i="49" a="1"/>
  <c r="Q138" i="49" s="1"/>
  <c r="AE115" i="49" a="1"/>
  <c r="AE115" i="49" s="1"/>
  <c r="M117" i="49" a="1"/>
  <c r="M117" i="49" s="1"/>
  <c r="AA94" i="49" a="1"/>
  <c r="AA94" i="49" s="1"/>
  <c r="Q119" i="49" a="1"/>
  <c r="Q119" i="49" s="1"/>
  <c r="AE96" i="49" a="1"/>
  <c r="AE96" i="49" s="1"/>
  <c r="M121" i="49" a="1"/>
  <c r="M121" i="49" s="1"/>
  <c r="AA98" i="49" a="1"/>
  <c r="AA98" i="49" s="1"/>
  <c r="O122" i="49" a="1"/>
  <c r="O122" i="49" s="1"/>
  <c r="AC99" i="49" a="1"/>
  <c r="AC99" i="49" s="1"/>
  <c r="Q123" i="49" a="1"/>
  <c r="Q123" i="49" s="1"/>
  <c r="AE100" i="49" a="1"/>
  <c r="AE100" i="49" s="1"/>
  <c r="M125" i="49" a="1"/>
  <c r="M125" i="49" s="1"/>
  <c r="AA102" i="49" a="1"/>
  <c r="AA102" i="49" s="1"/>
  <c r="S82" i="49" a="1"/>
  <c r="S82" i="49" s="1"/>
  <c r="W85" i="49" a="1"/>
  <c r="W85" i="49" s="1"/>
  <c r="W86" i="49" a="1"/>
  <c r="W86" i="49" s="1"/>
  <c r="T92" i="49" a="1"/>
  <c r="T92" i="49" s="1"/>
  <c r="R95" i="49" a="1"/>
  <c r="R95" i="49" s="1"/>
  <c r="X96" i="49" a="1"/>
  <c r="X96" i="49" s="1"/>
  <c r="W97" i="49" a="1"/>
  <c r="W97" i="49" s="1"/>
  <c r="V99" i="49" a="1"/>
  <c r="V99" i="49" s="1"/>
  <c r="U101" i="49" a="1"/>
  <c r="U101" i="49" s="1"/>
  <c r="T102" i="49" a="1"/>
  <c r="T102" i="49" s="1"/>
  <c r="T103" i="49" a="1"/>
  <c r="T103" i="49" s="1"/>
  <c r="S105" i="49" a="1"/>
  <c r="S105" i="49" s="1"/>
  <c r="AA83" i="49" a="1"/>
  <c r="AA83" i="49" s="1"/>
  <c r="AC96" i="49" a="1"/>
  <c r="AC96" i="49" s="1"/>
  <c r="O125" i="49" a="1"/>
  <c r="O125" i="49" s="1"/>
  <c r="AC102" i="49" a="1"/>
  <c r="AC102" i="49" s="1"/>
  <c r="L134" i="49" a="1"/>
  <c r="L134" i="49" s="1"/>
  <c r="Z111" i="49" a="1"/>
  <c r="Z111" i="49" s="1"/>
  <c r="X91" i="49" a="1"/>
  <c r="X91" i="49" s="1"/>
  <c r="V94" i="49" a="1"/>
  <c r="V94" i="49" s="1"/>
  <c r="K109" i="49" a="1"/>
  <c r="K109" i="49" s="1"/>
  <c r="Y86" i="49" a="1"/>
  <c r="Y86" i="49" s="1"/>
  <c r="K117" i="49" a="1"/>
  <c r="K117" i="49" s="1"/>
  <c r="Y94" i="49" a="1"/>
  <c r="Y94" i="49" s="1"/>
  <c r="K125" i="49" a="1"/>
  <c r="K125" i="49" s="1"/>
  <c r="Y102" i="49" a="1"/>
  <c r="Y102" i="49" s="1"/>
  <c r="M105" i="49" a="1"/>
  <c r="M105" i="49" s="1"/>
  <c r="AA82" i="49" a="1"/>
  <c r="AA82" i="49" s="1"/>
  <c r="O106" i="49" a="1"/>
  <c r="O106" i="49" s="1"/>
  <c r="AC83" i="49" a="1"/>
  <c r="AC83" i="49" s="1"/>
  <c r="Q107" i="49" a="1"/>
  <c r="Q107" i="49" s="1"/>
  <c r="AE84" i="49" a="1"/>
  <c r="AE84" i="49" s="1"/>
  <c r="M132" i="49" a="1"/>
  <c r="M132" i="49" s="1"/>
  <c r="AA109" i="49" a="1"/>
  <c r="AA109" i="49" s="1"/>
  <c r="Q111" i="49" a="1"/>
  <c r="Q111" i="49" s="1"/>
  <c r="AE88" i="49" a="1"/>
  <c r="AE88" i="49" s="1"/>
  <c r="M113" i="49" a="1"/>
  <c r="M113" i="49" s="1"/>
  <c r="AA90" i="49" a="1"/>
  <c r="AA90" i="49" s="1"/>
  <c r="P114" i="49" a="1"/>
  <c r="P114" i="49" s="1"/>
  <c r="AD91" i="49" a="1"/>
  <c r="AD91" i="49" s="1"/>
  <c r="L116" i="49" a="1"/>
  <c r="L116" i="49" s="1"/>
  <c r="Z93" i="49" a="1"/>
  <c r="Z93" i="49" s="1"/>
  <c r="N117" i="49" a="1"/>
  <c r="N117" i="49" s="1"/>
  <c r="AB94" i="49" a="1"/>
  <c r="AB94" i="49" s="1"/>
  <c r="P118" i="49" a="1"/>
  <c r="P118" i="49" s="1"/>
  <c r="AD95" i="49" a="1"/>
  <c r="AD95" i="49" s="1"/>
  <c r="L120" i="49" a="1"/>
  <c r="L120" i="49" s="1"/>
  <c r="Z97" i="49" a="1"/>
  <c r="Z97" i="49" s="1"/>
  <c r="N121" i="49" a="1"/>
  <c r="N121" i="49" s="1"/>
  <c r="AB98" i="49" a="1"/>
  <c r="AB98" i="49" s="1"/>
  <c r="P122" i="49" a="1"/>
  <c r="P122" i="49" s="1"/>
  <c r="AD99" i="49" a="1"/>
  <c r="AD99" i="49" s="1"/>
  <c r="L124" i="49" a="1"/>
  <c r="L124" i="49" s="1"/>
  <c r="Z101" i="49" a="1"/>
  <c r="Z101" i="49" s="1"/>
  <c r="N125" i="49" a="1"/>
  <c r="N125" i="49" s="1"/>
  <c r="AB102" i="49" a="1"/>
  <c r="AB102" i="49" s="1"/>
  <c r="P126" i="49" a="1"/>
  <c r="P126" i="49" s="1"/>
  <c r="AD103" i="49" a="1"/>
  <c r="AD103" i="49" s="1"/>
  <c r="S83" i="49" a="1"/>
  <c r="S83" i="49" s="1"/>
  <c r="R84" i="49" a="1"/>
  <c r="R84" i="49" s="1"/>
  <c r="R85" i="49" a="1"/>
  <c r="R85" i="49" s="1"/>
  <c r="W87" i="49" a="1"/>
  <c r="W87" i="49" s="1"/>
  <c r="V90" i="49" a="1"/>
  <c r="V90" i="49" s="1"/>
  <c r="U91" i="49" a="1"/>
  <c r="U91" i="49" s="1"/>
  <c r="T93" i="49" a="1"/>
  <c r="T93" i="49" s="1"/>
  <c r="S95" i="49" a="1"/>
  <c r="S95" i="49" s="1"/>
  <c r="R96" i="49" a="1"/>
  <c r="R96" i="49" s="1"/>
  <c r="R97" i="49" a="1"/>
  <c r="R97" i="49" s="1"/>
  <c r="X97" i="49" a="1"/>
  <c r="X97" i="49" s="1"/>
  <c r="W99" i="49" a="1"/>
  <c r="W99" i="49" s="1"/>
  <c r="V100" i="49" a="1"/>
  <c r="V100" i="49" s="1"/>
  <c r="V101" i="49" a="1"/>
  <c r="V101" i="49" s="1"/>
  <c r="U102" i="49" a="1"/>
  <c r="U102" i="49" s="1"/>
  <c r="AE83" i="49" a="1"/>
  <c r="AE83" i="49" s="1"/>
  <c r="Y90" i="49" a="1"/>
  <c r="Y90" i="49" s="1"/>
  <c r="AB97" i="49" a="1"/>
  <c r="AB97" i="49" s="1"/>
  <c r="Q104" i="49" a="1"/>
  <c r="Q104" i="49" s="1"/>
  <c r="X81" i="49" a="1"/>
  <c r="X81" i="49" s="1"/>
  <c r="AE81" i="49" a="1"/>
  <c r="AE81" i="49" s="1"/>
  <c r="W150" i="49" a="1"/>
  <c r="W150" i="49" s="1"/>
  <c r="AD81" i="49" a="1"/>
  <c r="AD81" i="49" s="1"/>
  <c r="S81" i="49" a="1"/>
  <c r="S81" i="49" s="1"/>
  <c r="T104" i="49" a="1"/>
  <c r="T104" i="49" s="1"/>
  <c r="W127" i="49" a="1"/>
  <c r="W127" i="49" s="1"/>
  <c r="R150" i="49" a="1"/>
  <c r="R150" i="49" s="1"/>
  <c r="Y81" i="49" a="1"/>
  <c r="Y81" i="49" s="1"/>
  <c r="AC104" i="49" a="1"/>
  <c r="AC104" i="49" s="1"/>
  <c r="AB127" i="49" a="1"/>
  <c r="AB127" i="49" s="1"/>
  <c r="AB150" i="49" a="1"/>
  <c r="AB150" i="49" s="1"/>
  <c r="U104" i="49" a="1"/>
  <c r="U104" i="49" s="1"/>
  <c r="R127" i="49" a="1"/>
  <c r="R127" i="49" s="1"/>
  <c r="AA81" i="49" a="1"/>
  <c r="AA81" i="49" s="1"/>
  <c r="Y127" i="49" a="1"/>
  <c r="Y127" i="49" s="1"/>
  <c r="AC127" i="49" a="1"/>
  <c r="AC127" i="49" s="1"/>
  <c r="AC150" i="49" a="1"/>
  <c r="AC150" i="49" s="1"/>
  <c r="U81" i="49" a="1"/>
  <c r="U81" i="49" s="1"/>
  <c r="V104" i="49" a="1"/>
  <c r="V104" i="49" s="1"/>
  <c r="S127" i="49" a="1"/>
  <c r="S127" i="49" s="1"/>
  <c r="T150" i="49" a="1"/>
  <c r="T150" i="49" s="1"/>
  <c r="Y104" i="49" a="1"/>
  <c r="Y104" i="49" s="1"/>
  <c r="V81" i="49" a="1"/>
  <c r="V81" i="49" s="1"/>
  <c r="W104" i="49" a="1"/>
  <c r="W104" i="49" s="1"/>
  <c r="T127" i="49" a="1"/>
  <c r="T127" i="49" s="1"/>
  <c r="AB81" i="49" a="1"/>
  <c r="AB81" i="49" s="1"/>
  <c r="Z104" i="49" a="1"/>
  <c r="Z104" i="49" s="1"/>
  <c r="Z127" i="49" a="1"/>
  <c r="Z127" i="49" s="1"/>
  <c r="AD127" i="49" a="1"/>
  <c r="AD127" i="49" s="1"/>
  <c r="AD104" i="49" a="1"/>
  <c r="AD104" i="49" s="1"/>
  <c r="W81" i="49" a="1"/>
  <c r="W81" i="49" s="1"/>
  <c r="U127" i="49" a="1"/>
  <c r="U127" i="49" s="1"/>
  <c r="R104" i="49" a="1"/>
  <c r="R104" i="49" s="1"/>
  <c r="AC81" i="49" a="1"/>
  <c r="AC81" i="49" s="1"/>
  <c r="AA104" i="49" a="1"/>
  <c r="AA104" i="49" s="1"/>
  <c r="AA127" i="49" a="1"/>
  <c r="AA127" i="49" s="1"/>
  <c r="AB90" i="49" a="1"/>
  <c r="AB90" i="49" s="1"/>
  <c r="N113" i="49" a="1"/>
  <c r="N113" i="49" s="1"/>
  <c r="U90" i="49" a="1"/>
  <c r="U90" i="49" s="1"/>
  <c r="D74" i="29"/>
  <c r="F36" i="33"/>
  <c r="D35" i="33"/>
  <c r="F35" i="33" s="1"/>
  <c r="D37" i="33"/>
  <c r="B162" i="29"/>
  <c r="AN5" i="33"/>
  <c r="AO5" i="33" s="1"/>
  <c r="AN8" i="33"/>
  <c r="B202" i="29"/>
  <c r="O54" i="29"/>
  <c r="J61" i="35" a="1"/>
  <c r="J61" i="35" s="1"/>
  <c r="M143" i="49" l="1" a="1"/>
  <c r="M143" i="49" s="1"/>
  <c r="AA120" i="49" a="1"/>
  <c r="AA120" i="49" s="1"/>
  <c r="T120" i="49" a="1"/>
  <c r="T120" i="49" s="1"/>
  <c r="O145" i="49" a="1"/>
  <c r="O145" i="49" s="1"/>
  <c r="AC122" i="49" a="1"/>
  <c r="AC122" i="49" s="1"/>
  <c r="V122" i="49" a="1"/>
  <c r="V122" i="49" s="1"/>
  <c r="Q161" i="49" a="1"/>
  <c r="Q161" i="49" s="1"/>
  <c r="AE138" i="49" a="1"/>
  <c r="AE138" i="49" s="1"/>
  <c r="X138" i="49" a="1"/>
  <c r="X138" i="49" s="1"/>
  <c r="N133" i="49" a="1"/>
  <c r="N133" i="49" s="1"/>
  <c r="AB110" i="49" a="1"/>
  <c r="AB110" i="49" s="1"/>
  <c r="U110" i="49" a="1"/>
  <c r="U110" i="49" s="1"/>
  <c r="K147" i="49" a="1"/>
  <c r="K147" i="49" s="1"/>
  <c r="Y124" i="49" a="1"/>
  <c r="Y124" i="49" s="1"/>
  <c r="R124" i="49" a="1"/>
  <c r="R124" i="49" s="1"/>
  <c r="N149" i="49" a="1"/>
  <c r="N149" i="49" s="1"/>
  <c r="AB126" i="49" a="1"/>
  <c r="AB126" i="49" s="1"/>
  <c r="U126" i="49" a="1"/>
  <c r="U126" i="49" s="1"/>
  <c r="P142" i="49" a="1"/>
  <c r="P142" i="49" s="1"/>
  <c r="AD119" i="49" a="1"/>
  <c r="AD119" i="49" s="1"/>
  <c r="W119" i="49" a="1"/>
  <c r="W119" i="49" s="1"/>
  <c r="Q135" i="49" a="1"/>
  <c r="Q135" i="49" s="1"/>
  <c r="AE112" i="49" a="1"/>
  <c r="AE112" i="49" s="1"/>
  <c r="X112" i="49" a="1"/>
  <c r="X112" i="49" s="1"/>
  <c r="M152" i="49" a="1"/>
  <c r="M152" i="49" s="1"/>
  <c r="AA129" i="49" a="1"/>
  <c r="AA129" i="49" s="1"/>
  <c r="T129" i="49" a="1"/>
  <c r="T129" i="49" s="1"/>
  <c r="M149" i="49" a="1"/>
  <c r="M149" i="49" s="1"/>
  <c r="AA126" i="49" a="1"/>
  <c r="AA126" i="49" s="1"/>
  <c r="T126" i="49" a="1"/>
  <c r="T126" i="49" s="1"/>
  <c r="L130" i="49" a="1"/>
  <c r="L130" i="49" s="1"/>
  <c r="Z107" i="49" a="1"/>
  <c r="Z107" i="49" s="1"/>
  <c r="S107" i="49" a="1"/>
  <c r="S107" i="49" s="1"/>
  <c r="O136" i="49" a="1"/>
  <c r="O136" i="49" s="1"/>
  <c r="AC113" i="49" a="1"/>
  <c r="AC113" i="49" s="1"/>
  <c r="V113" i="49" a="1"/>
  <c r="V113" i="49" s="1"/>
  <c r="L149" i="49" a="1"/>
  <c r="L149" i="49" s="1"/>
  <c r="Z126" i="49" a="1"/>
  <c r="Z126" i="49" s="1"/>
  <c r="S126" i="49" a="1"/>
  <c r="S126" i="49" s="1"/>
  <c r="N142" i="49" a="1"/>
  <c r="N142" i="49" s="1"/>
  <c r="AB119" i="49" a="1"/>
  <c r="AB119" i="49" s="1"/>
  <c r="U119" i="49" a="1"/>
  <c r="U119" i="49" s="1"/>
  <c r="O135" i="49" a="1"/>
  <c r="O135" i="49" s="1"/>
  <c r="AC112" i="49" a="1"/>
  <c r="AC112" i="49" s="1"/>
  <c r="V112" i="49" a="1"/>
  <c r="V112" i="49" s="1"/>
  <c r="M130" i="49" a="1"/>
  <c r="M130" i="49" s="1"/>
  <c r="AA107" i="49" a="1"/>
  <c r="AA107" i="49" s="1"/>
  <c r="T107" i="49" a="1"/>
  <c r="T107" i="49" s="1"/>
  <c r="P132" i="49" a="1"/>
  <c r="P132" i="49" s="1"/>
  <c r="AD109" i="49" a="1"/>
  <c r="AD109" i="49" s="1"/>
  <c r="W109" i="49" a="1"/>
  <c r="W109" i="49" s="1"/>
  <c r="P163" i="49" a="1"/>
  <c r="P163" i="49" s="1"/>
  <c r="AD140" i="49" a="1"/>
  <c r="AD140" i="49" s="1"/>
  <c r="W140" i="49" a="1"/>
  <c r="W140" i="49" s="1"/>
  <c r="O132" i="49" a="1"/>
  <c r="O132" i="49" s="1"/>
  <c r="AC109" i="49" a="1"/>
  <c r="AC109" i="49" s="1"/>
  <c r="V109" i="49" a="1"/>
  <c r="V109" i="49" s="1"/>
  <c r="K142" i="49" a="1"/>
  <c r="K142" i="49" s="1"/>
  <c r="Y119" i="49" a="1"/>
  <c r="Y119" i="49" s="1"/>
  <c r="R119" i="49" a="1"/>
  <c r="R119" i="49" s="1"/>
  <c r="K133" i="49" a="1"/>
  <c r="K133" i="49" s="1"/>
  <c r="Y110" i="49" a="1"/>
  <c r="Y110" i="49" s="1"/>
  <c r="R110" i="49" a="1"/>
  <c r="R110" i="49" s="1"/>
  <c r="M135" i="49" a="1"/>
  <c r="M135" i="49" s="1"/>
  <c r="AA112" i="49" a="1"/>
  <c r="AA112" i="49" s="1"/>
  <c r="T112" i="49" a="1"/>
  <c r="T112" i="49" s="1"/>
  <c r="Q139" i="49" a="1"/>
  <c r="Q139" i="49" s="1"/>
  <c r="AE116" i="49" a="1"/>
  <c r="AE116" i="49" s="1"/>
  <c r="X116" i="49" a="1"/>
  <c r="X116" i="49" s="1"/>
  <c r="Q148" i="49" a="1"/>
  <c r="Q148" i="49" s="1"/>
  <c r="AE125" i="49" a="1"/>
  <c r="AE125" i="49" s="1"/>
  <c r="X125" i="49" a="1"/>
  <c r="X125" i="49" s="1"/>
  <c r="K141" i="49" a="1"/>
  <c r="K141" i="49" s="1"/>
  <c r="Y118" i="49" a="1"/>
  <c r="Y118" i="49" s="1"/>
  <c r="R118" i="49" a="1"/>
  <c r="R118" i="49" s="1"/>
  <c r="M138" i="49" a="1"/>
  <c r="M138" i="49" s="1"/>
  <c r="AA115" i="49" a="1"/>
  <c r="AA115" i="49" s="1"/>
  <c r="T115" i="49" a="1"/>
  <c r="T115" i="49" s="1"/>
  <c r="N147" i="49" a="1"/>
  <c r="N147" i="49" s="1"/>
  <c r="AB124" i="49" a="1"/>
  <c r="AB124" i="49" s="1"/>
  <c r="U124" i="49" a="1"/>
  <c r="U124" i="49" s="1"/>
  <c r="K129" i="49" a="1"/>
  <c r="K129" i="49" s="1"/>
  <c r="Y106" i="49" a="1"/>
  <c r="Y106" i="49" s="1"/>
  <c r="R106" i="49" a="1"/>
  <c r="R106" i="49" s="1"/>
  <c r="N144" i="49" a="1"/>
  <c r="N144" i="49" s="1"/>
  <c r="AB121" i="49" a="1"/>
  <c r="AB121" i="49" s="1"/>
  <c r="U121" i="49" a="1"/>
  <c r="U121" i="49" s="1"/>
  <c r="L139" i="49" a="1"/>
  <c r="L139" i="49" s="1"/>
  <c r="Z116" i="49" a="1"/>
  <c r="Z116" i="49" s="1"/>
  <c r="S116" i="49" a="1"/>
  <c r="S116" i="49" s="1"/>
  <c r="K148" i="49" a="1"/>
  <c r="K148" i="49" s="1"/>
  <c r="Y125" i="49" a="1"/>
  <c r="Y125" i="49" s="1"/>
  <c r="R125" i="49" a="1"/>
  <c r="R125" i="49" s="1"/>
  <c r="L157" i="49" a="1"/>
  <c r="L157" i="49" s="1"/>
  <c r="Z134" i="49" a="1"/>
  <c r="Z134" i="49" s="1"/>
  <c r="S134" i="49" a="1"/>
  <c r="S134" i="49" s="1"/>
  <c r="Q144" i="49" a="1"/>
  <c r="Q144" i="49" s="1"/>
  <c r="AE121" i="49" a="1"/>
  <c r="AE121" i="49" s="1"/>
  <c r="X121" i="49" a="1"/>
  <c r="X121" i="49" s="1"/>
  <c r="O165" i="49" a="1"/>
  <c r="O165" i="49" s="1"/>
  <c r="AC142" i="49" a="1"/>
  <c r="AC142" i="49" s="1"/>
  <c r="V142" i="49" a="1"/>
  <c r="V142" i="49" s="1"/>
  <c r="L129" i="49" a="1"/>
  <c r="L129" i="49" s="1"/>
  <c r="Z106" i="49" a="1"/>
  <c r="Z106" i="49" s="1"/>
  <c r="S106" i="49" a="1"/>
  <c r="S106" i="49" s="1"/>
  <c r="Q137" i="49" a="1"/>
  <c r="Q137" i="49" s="1"/>
  <c r="AE114" i="49" a="1"/>
  <c r="AE114" i="49" s="1"/>
  <c r="X114" i="49" a="1"/>
  <c r="X114" i="49" s="1"/>
  <c r="P130" i="49" a="1"/>
  <c r="P130" i="49" s="1"/>
  <c r="AD107" i="49" a="1"/>
  <c r="AD107" i="49" s="1"/>
  <c r="W107" i="49" a="1"/>
  <c r="W107" i="49" s="1"/>
  <c r="K139" i="49" a="1"/>
  <c r="K139" i="49" s="1"/>
  <c r="Y116" i="49" a="1"/>
  <c r="Y116" i="49" s="1"/>
  <c r="R116" i="49" a="1"/>
  <c r="R116" i="49" s="1"/>
  <c r="O134" i="49" a="1"/>
  <c r="O134" i="49" s="1"/>
  <c r="AC111" i="49" a="1"/>
  <c r="AC111" i="49" s="1"/>
  <c r="V111" i="49" a="1"/>
  <c r="V111" i="49" s="1"/>
  <c r="O146" i="49" a="1"/>
  <c r="O146" i="49" s="1"/>
  <c r="AC123" i="49" a="1"/>
  <c r="AC123" i="49" s="1"/>
  <c r="V123" i="49" a="1"/>
  <c r="V123" i="49" s="1"/>
  <c r="P137" i="49" a="1"/>
  <c r="P137" i="49" s="1"/>
  <c r="AD114" i="49" a="1"/>
  <c r="AD114" i="49" s="1"/>
  <c r="W114" i="49" a="1"/>
  <c r="W114" i="49" s="1"/>
  <c r="O143" i="49" a="1"/>
  <c r="O143" i="49" s="1"/>
  <c r="AC120" i="49" a="1"/>
  <c r="AC120" i="49" s="1"/>
  <c r="V120" i="49" a="1"/>
  <c r="V120" i="49" s="1"/>
  <c r="K143" i="49" a="1"/>
  <c r="K143" i="49" s="1"/>
  <c r="Y120" i="49" a="1"/>
  <c r="Y120" i="49" s="1"/>
  <c r="R120" i="49" a="1"/>
  <c r="R120" i="49" s="1"/>
  <c r="M146" i="49" a="1"/>
  <c r="M146" i="49" s="1"/>
  <c r="AA123" i="49" a="1"/>
  <c r="AA123" i="49" s="1"/>
  <c r="T123" i="49" a="1"/>
  <c r="T123" i="49" s="1"/>
  <c r="P151" i="49" a="1"/>
  <c r="P151" i="49" s="1"/>
  <c r="AD128" i="49" a="1"/>
  <c r="AD128" i="49" s="1"/>
  <c r="W128" i="49" a="1"/>
  <c r="W128" i="49" s="1"/>
  <c r="N128" i="49" a="1"/>
  <c r="N128" i="49" s="1"/>
  <c r="AB105" i="49" a="1"/>
  <c r="AB105" i="49" s="1"/>
  <c r="U105" i="49" a="1"/>
  <c r="U105" i="49" s="1"/>
  <c r="M141" i="49" a="1"/>
  <c r="M141" i="49" s="1"/>
  <c r="AA118" i="49" a="1"/>
  <c r="AA118" i="49" s="1"/>
  <c r="T118" i="49" a="1"/>
  <c r="T118" i="49" s="1"/>
  <c r="N134" i="49" a="1"/>
  <c r="N134" i="49" s="1"/>
  <c r="AB111" i="49" a="1"/>
  <c r="AB111" i="49" s="1"/>
  <c r="U111" i="49" a="1"/>
  <c r="U111" i="49" s="1"/>
  <c r="K144" i="49" a="1"/>
  <c r="K144" i="49" s="1"/>
  <c r="Y121" i="49" a="1"/>
  <c r="Y121" i="49" s="1"/>
  <c r="R121" i="49" a="1"/>
  <c r="R121" i="49" s="1"/>
  <c r="N132" i="49" a="1"/>
  <c r="N132" i="49" s="1"/>
  <c r="AB109" i="49" a="1"/>
  <c r="AB109" i="49" s="1"/>
  <c r="U109" i="49" a="1"/>
  <c r="U109" i="49" s="1"/>
  <c r="N138" i="49" a="1"/>
  <c r="N138" i="49" s="1"/>
  <c r="AB115" i="49" a="1"/>
  <c r="AB115" i="49" s="1"/>
  <c r="U115" i="49" a="1"/>
  <c r="U115" i="49" s="1"/>
  <c r="K137" i="49" a="1"/>
  <c r="K137" i="49" s="1"/>
  <c r="Y114" i="49" a="1"/>
  <c r="Y114" i="49" s="1"/>
  <c r="R114" i="49" a="1"/>
  <c r="R114" i="49" s="1"/>
  <c r="P144" i="49" a="1"/>
  <c r="P144" i="49" s="1"/>
  <c r="AD121" i="49" a="1"/>
  <c r="AD121" i="49" s="1"/>
  <c r="W121" i="49" a="1"/>
  <c r="W121" i="49" s="1"/>
  <c r="P145" i="49" a="1"/>
  <c r="P145" i="49" s="1"/>
  <c r="AD122" i="49" a="1"/>
  <c r="AD122" i="49" s="1"/>
  <c r="W122" i="49" a="1"/>
  <c r="W122" i="49" s="1"/>
  <c r="Q134" i="49" a="1"/>
  <c r="Q134" i="49" s="1"/>
  <c r="AE111" i="49" a="1"/>
  <c r="AE111" i="49" s="1"/>
  <c r="X111" i="49" a="1"/>
  <c r="X111" i="49" s="1"/>
  <c r="M128" i="49" a="1"/>
  <c r="M128" i="49" s="1"/>
  <c r="AA105" i="49" a="1"/>
  <c r="AA105" i="49" s="1"/>
  <c r="T105" i="49" a="1"/>
  <c r="T105" i="49" s="1"/>
  <c r="Q136" i="49" a="1"/>
  <c r="Q136" i="49" s="1"/>
  <c r="AE113" i="49" a="1"/>
  <c r="AE113" i="49" s="1"/>
  <c r="X113" i="49" a="1"/>
  <c r="X113" i="49" s="1"/>
  <c r="O140" i="49" a="1"/>
  <c r="O140" i="49" s="1"/>
  <c r="AC117" i="49" a="1"/>
  <c r="AC117" i="49" s="1"/>
  <c r="V117" i="49" a="1"/>
  <c r="V117" i="49" s="1"/>
  <c r="Q143" i="49" a="1"/>
  <c r="Q143" i="49" s="1"/>
  <c r="AE120" i="49" a="1"/>
  <c r="AE120" i="49" s="1"/>
  <c r="X120" i="49" a="1"/>
  <c r="X120" i="49" s="1"/>
  <c r="P131" i="49" a="1"/>
  <c r="P131" i="49" s="1"/>
  <c r="AD108" i="49" a="1"/>
  <c r="AD108" i="49" s="1"/>
  <c r="W108" i="49" a="1"/>
  <c r="W108" i="49" s="1"/>
  <c r="Q131" i="49" a="1"/>
  <c r="Q131" i="49" s="1"/>
  <c r="AE108" i="49" a="1"/>
  <c r="AE108" i="49" s="1"/>
  <c r="X108" i="49" a="1"/>
  <c r="X108" i="49" s="1"/>
  <c r="N131" i="49" a="1"/>
  <c r="N131" i="49" s="1"/>
  <c r="AB108" i="49" a="1"/>
  <c r="AB108" i="49" s="1"/>
  <c r="U108" i="49" a="1"/>
  <c r="U108" i="49" s="1"/>
  <c r="O147" i="49" a="1"/>
  <c r="O147" i="49" s="1"/>
  <c r="AC124" i="49" a="1"/>
  <c r="AC124" i="49" s="1"/>
  <c r="V124" i="49" a="1"/>
  <c r="V124" i="49" s="1"/>
  <c r="M144" i="49" a="1"/>
  <c r="M144" i="49" s="1"/>
  <c r="AA121" i="49" a="1"/>
  <c r="AA121" i="49" s="1"/>
  <c r="T121" i="49" a="1"/>
  <c r="T121" i="49" s="1"/>
  <c r="P147" i="49" a="1"/>
  <c r="P147" i="49" s="1"/>
  <c r="AD124" i="49" a="1"/>
  <c r="AD124" i="49" s="1"/>
  <c r="W124" i="49" a="1"/>
  <c r="W124" i="49" s="1"/>
  <c r="Q128" i="49" a="1"/>
  <c r="Q128" i="49" s="1"/>
  <c r="AE105" i="49" a="1"/>
  <c r="AE105" i="49" s="1"/>
  <c r="X105" i="49" a="1"/>
  <c r="X105" i="49" s="1"/>
  <c r="K135" i="49" a="1"/>
  <c r="K135" i="49" s="1"/>
  <c r="Y112" i="49" a="1"/>
  <c r="Y112" i="49" s="1"/>
  <c r="R112" i="49" a="1"/>
  <c r="R112" i="49" s="1"/>
  <c r="N130" i="49" a="1"/>
  <c r="N130" i="49" s="1"/>
  <c r="AB107" i="49" a="1"/>
  <c r="AB107" i="49" s="1"/>
  <c r="U107" i="49" a="1"/>
  <c r="U107" i="49" s="1"/>
  <c r="K140" i="49" a="1"/>
  <c r="K140" i="49" s="1"/>
  <c r="Y117" i="49" a="1"/>
  <c r="Y117" i="49" s="1"/>
  <c r="R117" i="49" a="1"/>
  <c r="R117" i="49" s="1"/>
  <c r="M148" i="49" a="1"/>
  <c r="M148" i="49" s="1"/>
  <c r="AA125" i="49" a="1"/>
  <c r="AA125" i="49" s="1"/>
  <c r="T125" i="49" a="1"/>
  <c r="T125" i="49" s="1"/>
  <c r="Q142" i="49" a="1"/>
  <c r="Q142" i="49" s="1"/>
  <c r="AE119" i="49" a="1"/>
  <c r="AE119" i="49" s="1"/>
  <c r="X119" i="49" a="1"/>
  <c r="X119" i="49" s="1"/>
  <c r="L136" i="49" a="1"/>
  <c r="L136" i="49" s="1"/>
  <c r="Z113" i="49" a="1"/>
  <c r="Z113" i="49" s="1"/>
  <c r="S113" i="49" a="1"/>
  <c r="S113" i="49" s="1"/>
  <c r="N129" i="49" a="1"/>
  <c r="N129" i="49" s="1"/>
  <c r="AB106" i="49" a="1"/>
  <c r="AB106" i="49" s="1"/>
  <c r="U106" i="49" a="1"/>
  <c r="U106" i="49" s="1"/>
  <c r="K154" i="49" a="1"/>
  <c r="K154" i="49" s="1"/>
  <c r="Y131" i="49" a="1"/>
  <c r="Y131" i="49" s="1"/>
  <c r="R131" i="49" a="1"/>
  <c r="R131" i="49" s="1"/>
  <c r="N145" i="49" a="1"/>
  <c r="N145" i="49" s="1"/>
  <c r="AB122" i="49" a="1"/>
  <c r="AB122" i="49" s="1"/>
  <c r="U122" i="49" a="1"/>
  <c r="U122" i="49" s="1"/>
  <c r="P138" i="49" a="1"/>
  <c r="P138" i="49" s="1"/>
  <c r="AD115" i="49" a="1"/>
  <c r="AD115" i="49" s="1"/>
  <c r="W115" i="49" a="1"/>
  <c r="W115" i="49" s="1"/>
  <c r="M156" i="49" a="1"/>
  <c r="M156" i="49" s="1"/>
  <c r="AA133" i="49" a="1"/>
  <c r="AA133" i="49" s="1"/>
  <c r="T133" i="49" a="1"/>
  <c r="T133" i="49" s="1"/>
  <c r="K161" i="49" a="1"/>
  <c r="K161" i="49" s="1"/>
  <c r="Y138" i="49" a="1"/>
  <c r="Y138" i="49" s="1"/>
  <c r="R138" i="49" a="1"/>
  <c r="R138" i="49" s="1"/>
  <c r="O144" i="49" a="1"/>
  <c r="O144" i="49" s="1"/>
  <c r="AC121" i="49" a="1"/>
  <c r="AC121" i="49" s="1"/>
  <c r="V121" i="49" a="1"/>
  <c r="V121" i="49" s="1"/>
  <c r="L145" i="49" a="1"/>
  <c r="L145" i="49" s="1"/>
  <c r="Z122" i="49" a="1"/>
  <c r="Z122" i="49" s="1"/>
  <c r="S122" i="49" a="1"/>
  <c r="S122" i="49" s="1"/>
  <c r="P139" i="49" a="1"/>
  <c r="P139" i="49" s="1"/>
  <c r="AD116" i="49" a="1"/>
  <c r="AD116" i="49" s="1"/>
  <c r="W116" i="49" a="1"/>
  <c r="W116" i="49" s="1"/>
  <c r="Q132" i="49" a="1"/>
  <c r="Q132" i="49" s="1"/>
  <c r="AE109" i="49" a="1"/>
  <c r="AE109" i="49" s="1"/>
  <c r="X109" i="49" a="1"/>
  <c r="X109" i="49" s="1"/>
  <c r="K159" i="49" a="1"/>
  <c r="K159" i="49" s="1"/>
  <c r="Y136" i="49" a="1"/>
  <c r="Y136" i="49" s="1"/>
  <c r="R136" i="49" a="1"/>
  <c r="R136" i="49" s="1"/>
  <c r="N166" i="49" a="1"/>
  <c r="N166" i="49" s="1"/>
  <c r="AB143" i="49" a="1"/>
  <c r="AB143" i="49" s="1"/>
  <c r="U143" i="49" a="1"/>
  <c r="U143" i="49" s="1"/>
  <c r="L138" i="49" a="1"/>
  <c r="L138" i="49" s="1"/>
  <c r="Z115" i="49" a="1"/>
  <c r="Z115" i="49" s="1"/>
  <c r="S115" i="49" a="1"/>
  <c r="S115" i="49" s="1"/>
  <c r="Q152" i="49" a="1"/>
  <c r="Q152" i="49" s="1"/>
  <c r="AE129" i="49" a="1"/>
  <c r="AE129" i="49" s="1"/>
  <c r="X129" i="49" a="1"/>
  <c r="X129" i="49" s="1"/>
  <c r="M139" i="49" a="1"/>
  <c r="M139" i="49" s="1"/>
  <c r="AA116" i="49" a="1"/>
  <c r="AA116" i="49" s="1"/>
  <c r="T116" i="49" a="1"/>
  <c r="T116" i="49" s="1"/>
  <c r="O149" i="49" a="1"/>
  <c r="O149" i="49" s="1"/>
  <c r="V126" i="49" a="1"/>
  <c r="V126" i="49" s="1"/>
  <c r="AC126" i="49" a="1"/>
  <c r="AC126" i="49" s="1"/>
  <c r="L148" i="49" a="1"/>
  <c r="L148" i="49" s="1"/>
  <c r="Z125" i="49" a="1"/>
  <c r="Z125" i="49" s="1"/>
  <c r="S125" i="49" a="1"/>
  <c r="S125" i="49" s="1"/>
  <c r="N140" i="49" a="1"/>
  <c r="N140" i="49" s="1"/>
  <c r="AB117" i="49" a="1"/>
  <c r="AB117" i="49" s="1"/>
  <c r="U117" i="49" a="1"/>
  <c r="U117" i="49" s="1"/>
  <c r="M137" i="49" a="1"/>
  <c r="M137" i="49" s="1"/>
  <c r="AA114" i="49" a="1"/>
  <c r="AA114" i="49" s="1"/>
  <c r="T114" i="49" a="1"/>
  <c r="T114" i="49" s="1"/>
  <c r="P149" i="49" a="1"/>
  <c r="P149" i="49" s="1"/>
  <c r="AD126" i="49" a="1"/>
  <c r="AD126" i="49" s="1"/>
  <c r="W126" i="49" a="1"/>
  <c r="W126" i="49" s="1"/>
  <c r="M155" i="49" a="1"/>
  <c r="M155" i="49" s="1"/>
  <c r="AA132" i="49" a="1"/>
  <c r="AA132" i="49" s="1"/>
  <c r="T132" i="49" a="1"/>
  <c r="T132" i="49" s="1"/>
  <c r="P135" i="49" a="1"/>
  <c r="P135" i="49" s="1"/>
  <c r="AD112" i="49" a="1"/>
  <c r="AD112" i="49" s="1"/>
  <c r="W112" i="49" a="1"/>
  <c r="W112" i="49" s="1"/>
  <c r="N146" i="49" a="1"/>
  <c r="N146" i="49" s="1"/>
  <c r="AB123" i="49" a="1"/>
  <c r="AB123" i="49" s="1"/>
  <c r="U123" i="49" a="1"/>
  <c r="U123" i="49" s="1"/>
  <c r="O137" i="49" a="1"/>
  <c r="O137" i="49" s="1"/>
  <c r="AC114" i="49" a="1"/>
  <c r="AC114" i="49" s="1"/>
  <c r="V114" i="49" a="1"/>
  <c r="V114" i="49" s="1"/>
  <c r="N141" i="49" a="1"/>
  <c r="N141" i="49" s="1"/>
  <c r="AB118" i="49" a="1"/>
  <c r="AB118" i="49" s="1"/>
  <c r="U118" i="49" a="1"/>
  <c r="U118" i="49" s="1"/>
  <c r="P129" i="49" a="1"/>
  <c r="P129" i="49" s="1"/>
  <c r="AD106" i="49" a="1"/>
  <c r="AD106" i="49" s="1"/>
  <c r="W106" i="49" a="1"/>
  <c r="W106" i="49" s="1"/>
  <c r="M134" i="49" a="1"/>
  <c r="M134" i="49" s="1"/>
  <c r="AA111" i="49" a="1"/>
  <c r="AA111" i="49" s="1"/>
  <c r="T111" i="49" a="1"/>
  <c r="T111" i="49" s="1"/>
  <c r="N139" i="49" a="1"/>
  <c r="N139" i="49" s="1"/>
  <c r="AB116" i="49" a="1"/>
  <c r="AB116" i="49" s="1"/>
  <c r="U116" i="49" a="1"/>
  <c r="U116" i="49" s="1"/>
  <c r="M131" i="49" a="1"/>
  <c r="M131" i="49" s="1"/>
  <c r="AA108" i="49" a="1"/>
  <c r="AA108" i="49" s="1"/>
  <c r="T108" i="49" a="1"/>
  <c r="T108" i="49" s="1"/>
  <c r="K134" i="49" a="1"/>
  <c r="K134" i="49" s="1"/>
  <c r="Y111" i="49" a="1"/>
  <c r="Y111" i="49" s="1"/>
  <c r="R111" i="49" a="1"/>
  <c r="R111" i="49" s="1"/>
  <c r="O133" i="49" a="1"/>
  <c r="O133" i="49" s="1"/>
  <c r="AC110" i="49" a="1"/>
  <c r="AC110" i="49" s="1"/>
  <c r="V110" i="49" a="1"/>
  <c r="V110" i="49" s="1"/>
  <c r="L143" i="49" a="1"/>
  <c r="L143" i="49" s="1"/>
  <c r="Z120" i="49" a="1"/>
  <c r="Z120" i="49" s="1"/>
  <c r="S120" i="49" a="1"/>
  <c r="S120" i="49" s="1"/>
  <c r="O148" i="49" a="1"/>
  <c r="O148" i="49" s="1"/>
  <c r="AC125" i="49" a="1"/>
  <c r="AC125" i="49" s="1"/>
  <c r="V125" i="49" a="1"/>
  <c r="V125" i="49" s="1"/>
  <c r="L147" i="49" a="1"/>
  <c r="L147" i="49" s="1"/>
  <c r="Z124" i="49" a="1"/>
  <c r="Z124" i="49" s="1"/>
  <c r="S124" i="49" a="1"/>
  <c r="S124" i="49" s="1"/>
  <c r="M136" i="49" a="1"/>
  <c r="M136" i="49" s="1"/>
  <c r="AA113" i="49" a="1"/>
  <c r="AA113" i="49" s="1"/>
  <c r="T113" i="49" a="1"/>
  <c r="T113" i="49" s="1"/>
  <c r="O129" i="49" a="1"/>
  <c r="O129" i="49" s="1"/>
  <c r="AC106" i="49" a="1"/>
  <c r="AC106" i="49" s="1"/>
  <c r="V106" i="49" a="1"/>
  <c r="V106" i="49" s="1"/>
  <c r="K132" i="49" a="1"/>
  <c r="K132" i="49" s="1"/>
  <c r="Y109" i="49" a="1"/>
  <c r="Y109" i="49" s="1"/>
  <c r="R109" i="49" a="1"/>
  <c r="R109" i="49" s="1"/>
  <c r="Q140" i="49" a="1"/>
  <c r="Q140" i="49" s="1"/>
  <c r="AE117" i="49" a="1"/>
  <c r="AE117" i="49" s="1"/>
  <c r="X117" i="49" a="1"/>
  <c r="X117" i="49" s="1"/>
  <c r="L135" i="49" a="1"/>
  <c r="L135" i="49" s="1"/>
  <c r="Z112" i="49" a="1"/>
  <c r="Z112" i="49" s="1"/>
  <c r="S112" i="49" a="1"/>
  <c r="S112" i="49" s="1"/>
  <c r="M142" i="49" a="1"/>
  <c r="M142" i="49" s="1"/>
  <c r="AA119" i="49" a="1"/>
  <c r="AA119" i="49" s="1"/>
  <c r="T119" i="49" a="1"/>
  <c r="T119" i="49" s="1"/>
  <c r="Q145" i="49" a="1"/>
  <c r="Q145" i="49" s="1"/>
  <c r="AE122" i="49" a="1"/>
  <c r="AE122" i="49" s="1"/>
  <c r="X122" i="49" a="1"/>
  <c r="X122" i="49" s="1"/>
  <c r="M168" i="49" a="1"/>
  <c r="M168" i="49" s="1"/>
  <c r="AA145" i="49" a="1"/>
  <c r="AA145" i="49" s="1"/>
  <c r="T145" i="49" a="1"/>
  <c r="T145" i="49" s="1"/>
  <c r="O138" i="49" a="1"/>
  <c r="O138" i="49" s="1"/>
  <c r="AC115" i="49" a="1"/>
  <c r="AC115" i="49" s="1"/>
  <c r="V115" i="49" a="1"/>
  <c r="V115" i="49" s="1"/>
  <c r="L133" i="49" a="1"/>
  <c r="L133" i="49" s="1"/>
  <c r="Z110" i="49" a="1"/>
  <c r="Z110" i="49" s="1"/>
  <c r="S110" i="49" a="1"/>
  <c r="S110" i="49" s="1"/>
  <c r="K128" i="49" a="1"/>
  <c r="K128" i="49" s="1"/>
  <c r="Y105" i="49" a="1"/>
  <c r="Y105" i="49" s="1"/>
  <c r="R105" i="49" a="1"/>
  <c r="R105" i="49" s="1"/>
  <c r="M170" i="49" a="1"/>
  <c r="M170" i="49" s="1"/>
  <c r="AA147" i="49" a="1"/>
  <c r="AA147" i="49" s="1"/>
  <c r="T147" i="49" a="1"/>
  <c r="T147" i="49" s="1"/>
  <c r="K149" i="49" a="1"/>
  <c r="K149" i="49" s="1"/>
  <c r="Y126" i="49" a="1"/>
  <c r="Y126" i="49" s="1"/>
  <c r="R126" i="49" a="1"/>
  <c r="R126" i="49" s="1"/>
  <c r="P148" i="49" a="1"/>
  <c r="P148" i="49" s="1"/>
  <c r="AD125" i="49" a="1"/>
  <c r="AD125" i="49" s="1"/>
  <c r="W125" i="49" a="1"/>
  <c r="W125" i="49" s="1"/>
  <c r="L132" i="49" a="1"/>
  <c r="L132" i="49" s="1"/>
  <c r="Z109" i="49" a="1"/>
  <c r="Z109" i="49" s="1"/>
  <c r="S109" i="49" a="1"/>
  <c r="S109" i="49" s="1"/>
  <c r="P136" i="49" a="1"/>
  <c r="P136" i="49" s="1"/>
  <c r="AD113" i="49" a="1"/>
  <c r="AD113" i="49" s="1"/>
  <c r="W113" i="49" a="1"/>
  <c r="W113" i="49" s="1"/>
  <c r="N135" i="49" a="1"/>
  <c r="N135" i="49" s="1"/>
  <c r="AB112" i="49" a="1"/>
  <c r="AB112" i="49" s="1"/>
  <c r="U112" i="49" a="1"/>
  <c r="U112" i="49" s="1"/>
  <c r="P133" i="49" a="1"/>
  <c r="P133" i="49" s="1"/>
  <c r="AD110" i="49" a="1"/>
  <c r="AD110" i="49" s="1"/>
  <c r="W110" i="49" a="1"/>
  <c r="W110" i="49" s="1"/>
  <c r="L146" i="49" a="1"/>
  <c r="L146" i="49" s="1"/>
  <c r="Z123" i="49" a="1"/>
  <c r="Z123" i="49" s="1"/>
  <c r="S123" i="49" a="1"/>
  <c r="S123" i="49" s="1"/>
  <c r="K145" i="49" a="1"/>
  <c r="K145" i="49" s="1"/>
  <c r="Y122" i="49" a="1"/>
  <c r="Y122" i="49" s="1"/>
  <c r="R122" i="49" a="1"/>
  <c r="R122" i="49" s="1"/>
  <c r="P146" i="49" a="1"/>
  <c r="P146" i="49" s="1"/>
  <c r="AD123" i="49" a="1"/>
  <c r="AD123" i="49" s="1"/>
  <c r="W123" i="49" a="1"/>
  <c r="W123" i="49" s="1"/>
  <c r="K146" i="49" a="1"/>
  <c r="K146" i="49" s="1"/>
  <c r="R123" i="49" a="1"/>
  <c r="R123" i="49" s="1"/>
  <c r="Y123" i="49" a="1"/>
  <c r="Y123" i="49" s="1"/>
  <c r="Q149" i="49" a="1"/>
  <c r="Q149" i="49" s="1"/>
  <c r="AE126" i="49" a="1"/>
  <c r="AE126" i="49" s="1"/>
  <c r="X126" i="49" a="1"/>
  <c r="X126" i="49" s="1"/>
  <c r="L141" i="49" a="1"/>
  <c r="L141" i="49" s="1"/>
  <c r="Z118" i="49" a="1"/>
  <c r="Z118" i="49" s="1"/>
  <c r="S118" i="49" a="1"/>
  <c r="S118" i="49" s="1"/>
  <c r="N148" i="49" a="1"/>
  <c r="N148" i="49" s="1"/>
  <c r="AB125" i="49" a="1"/>
  <c r="AB125" i="49" s="1"/>
  <c r="U125" i="49" a="1"/>
  <c r="U125" i="49" s="1"/>
  <c r="Q130" i="49" a="1"/>
  <c r="Q130" i="49" s="1"/>
  <c r="AE107" i="49" a="1"/>
  <c r="AE107" i="49" s="1"/>
  <c r="X107" i="49" a="1"/>
  <c r="X107" i="49" s="1"/>
  <c r="P141" i="49" a="1"/>
  <c r="P141" i="49" s="1"/>
  <c r="AD118" i="49" a="1"/>
  <c r="AD118" i="49" s="1"/>
  <c r="W118" i="49" a="1"/>
  <c r="W118" i="49" s="1"/>
  <c r="Q146" i="49" a="1"/>
  <c r="Q146" i="49" s="1"/>
  <c r="AE123" i="49" a="1"/>
  <c r="AE123" i="49" s="1"/>
  <c r="X123" i="49" a="1"/>
  <c r="X123" i="49" s="1"/>
  <c r="M140" i="49" a="1"/>
  <c r="M140" i="49" s="1"/>
  <c r="AA117" i="49" a="1"/>
  <c r="AA117" i="49" s="1"/>
  <c r="T117" i="49" a="1"/>
  <c r="T117" i="49" s="1"/>
  <c r="P134" i="49" a="1"/>
  <c r="P134" i="49" s="1"/>
  <c r="AD111" i="49" a="1"/>
  <c r="AD111" i="49" s="1"/>
  <c r="W111" i="49" a="1"/>
  <c r="W111" i="49" s="1"/>
  <c r="L151" i="49" a="1"/>
  <c r="L151" i="49" s="1"/>
  <c r="Z128" i="49" a="1"/>
  <c r="Z128" i="49" s="1"/>
  <c r="S128" i="49" a="1"/>
  <c r="S128" i="49" s="1"/>
  <c r="L144" i="49" a="1"/>
  <c r="L144" i="49" s="1"/>
  <c r="Z121" i="49" a="1"/>
  <c r="Z121" i="49" s="1"/>
  <c r="S121" i="49" a="1"/>
  <c r="S121" i="49" s="1"/>
  <c r="N137" i="49" a="1"/>
  <c r="N137" i="49" s="1"/>
  <c r="AB114" i="49" a="1"/>
  <c r="AB114" i="49" s="1"/>
  <c r="U114" i="49" a="1"/>
  <c r="U114" i="49" s="1"/>
  <c r="O130" i="49" a="1"/>
  <c r="O130" i="49" s="1"/>
  <c r="AC107" i="49" a="1"/>
  <c r="AC107" i="49" s="1"/>
  <c r="V107" i="49" a="1"/>
  <c r="V107" i="49" s="1"/>
  <c r="K130" i="49" a="1"/>
  <c r="K130" i="49" s="1"/>
  <c r="Y107" i="49" a="1"/>
  <c r="Y107" i="49" s="1"/>
  <c r="R107" i="49" a="1"/>
  <c r="R107" i="49" s="1"/>
  <c r="Q141" i="49" a="1"/>
  <c r="Q141" i="49" s="1"/>
  <c r="AE118" i="49" a="1"/>
  <c r="AE118" i="49" s="1"/>
  <c r="X118" i="49" a="1"/>
  <c r="X118" i="49" s="1"/>
  <c r="P143" i="49" a="1"/>
  <c r="P143" i="49" s="1"/>
  <c r="AD120" i="49" a="1"/>
  <c r="AD120" i="49" s="1"/>
  <c r="W120" i="49" a="1"/>
  <c r="W120" i="49" s="1"/>
  <c r="L137" i="49" a="1"/>
  <c r="L137" i="49" s="1"/>
  <c r="Z114" i="49" a="1"/>
  <c r="Z114" i="49" s="1"/>
  <c r="S114" i="49" a="1"/>
  <c r="S114" i="49" s="1"/>
  <c r="O154" i="49" a="1"/>
  <c r="O154" i="49" s="1"/>
  <c r="AC131" i="49" a="1"/>
  <c r="AC131" i="49" s="1"/>
  <c r="V131" i="49" a="1"/>
  <c r="V131" i="49" s="1"/>
  <c r="O139" i="49" a="1"/>
  <c r="O139" i="49" s="1"/>
  <c r="AC116" i="49" a="1"/>
  <c r="AC116" i="49" s="1"/>
  <c r="V116" i="49" a="1"/>
  <c r="V116" i="49" s="1"/>
  <c r="L142" i="49" a="1"/>
  <c r="L142" i="49" s="1"/>
  <c r="Z119" i="49" a="1"/>
  <c r="Z119" i="49" s="1"/>
  <c r="S119" i="49" a="1"/>
  <c r="S119" i="49" s="1"/>
  <c r="Q133" i="49" a="1"/>
  <c r="Q133" i="49" s="1"/>
  <c r="AE110" i="49" a="1"/>
  <c r="AE110" i="49" s="1"/>
  <c r="X110" i="49" a="1"/>
  <c r="X110" i="49" s="1"/>
  <c r="O128" i="49" a="1"/>
  <c r="O128" i="49" s="1"/>
  <c r="AC105" i="49" a="1"/>
  <c r="AC105" i="49" s="1"/>
  <c r="V105" i="49" a="1"/>
  <c r="V105" i="49" s="1"/>
  <c r="L131" i="49" a="1"/>
  <c r="L131" i="49" s="1"/>
  <c r="Z108" i="49" a="1"/>
  <c r="Z108" i="49" s="1"/>
  <c r="S108" i="49" a="1"/>
  <c r="S108" i="49" s="1"/>
  <c r="O141" i="49" a="1"/>
  <c r="O141" i="49" s="1"/>
  <c r="AC118" i="49" a="1"/>
  <c r="AC118" i="49" s="1"/>
  <c r="V118" i="49" a="1"/>
  <c r="V118" i="49" s="1"/>
  <c r="L140" i="49" a="1"/>
  <c r="L140" i="49" s="1"/>
  <c r="Z117" i="49" a="1"/>
  <c r="Z117" i="49" s="1"/>
  <c r="S117" i="49" a="1"/>
  <c r="S117" i="49" s="1"/>
  <c r="Q147" i="49" a="1"/>
  <c r="Q147" i="49" s="1"/>
  <c r="AE124" i="49" a="1"/>
  <c r="AE124" i="49" s="1"/>
  <c r="X124" i="49" a="1"/>
  <c r="X124" i="49" s="1"/>
  <c r="Q127" i="49" a="1"/>
  <c r="Q127" i="49" s="1"/>
  <c r="X104" i="49" a="1"/>
  <c r="X104" i="49" s="1"/>
  <c r="AE104" i="49" a="1"/>
  <c r="AE104" i="49" s="1"/>
  <c r="N136" i="49" a="1"/>
  <c r="N136" i="49" s="1"/>
  <c r="AB113" i="49" a="1"/>
  <c r="AB113" i="49" s="1"/>
  <c r="U113" i="49" a="1"/>
  <c r="U113" i="49" s="1"/>
  <c r="B88" i="30"/>
  <c r="B77" i="30"/>
  <c r="B107" i="29"/>
  <c r="G69" i="30"/>
  <c r="G70" i="30"/>
  <c r="G68" i="30"/>
  <c r="B70" i="30"/>
  <c r="B69" i="30"/>
  <c r="B68" i="30"/>
  <c r="B76" i="30"/>
  <c r="B194" i="29"/>
  <c r="K157" i="49" l="1" a="1"/>
  <c r="K157" i="49" s="1"/>
  <c r="Y134" i="49" a="1"/>
  <c r="Y134" i="49" s="1"/>
  <c r="R134" i="49" a="1"/>
  <c r="R134" i="49" s="1"/>
  <c r="Y161" i="49" a="1"/>
  <c r="Y161" i="49" s="1"/>
  <c r="R161" i="49" a="1"/>
  <c r="R161" i="49" s="1"/>
  <c r="M171" i="49" a="1"/>
  <c r="M171" i="49" s="1"/>
  <c r="AA148" i="49" a="1"/>
  <c r="AA148" i="49" s="1"/>
  <c r="T148" i="49" a="1"/>
  <c r="T148" i="49" s="1"/>
  <c r="K162" i="49" a="1"/>
  <c r="K162" i="49" s="1"/>
  <c r="Y139" i="49" a="1"/>
  <c r="Y139" i="49" s="1"/>
  <c r="R139" i="49" a="1"/>
  <c r="R139" i="49" s="1"/>
  <c r="L162" i="49" a="1"/>
  <c r="L162" i="49" s="1"/>
  <c r="Z139" i="49" a="1"/>
  <c r="Z139" i="49" s="1"/>
  <c r="S139" i="49" a="1"/>
  <c r="S139" i="49" s="1"/>
  <c r="M158" i="49" a="1"/>
  <c r="M158" i="49" s="1"/>
  <c r="AA135" i="49" a="1"/>
  <c r="AA135" i="49" s="1"/>
  <c r="T135" i="49" a="1"/>
  <c r="T135" i="49" s="1"/>
  <c r="N165" i="49" a="1"/>
  <c r="N165" i="49" s="1"/>
  <c r="AB142" i="49" a="1"/>
  <c r="AB142" i="49" s="1"/>
  <c r="U142" i="49" a="1"/>
  <c r="U142" i="49" s="1"/>
  <c r="N172" i="49" a="1"/>
  <c r="N172" i="49" s="1"/>
  <c r="AB149" i="49" a="1"/>
  <c r="AB149" i="49" s="1"/>
  <c r="U149" i="49" a="1"/>
  <c r="U149" i="49" s="1"/>
  <c r="L165" i="49" a="1"/>
  <c r="L165" i="49" s="1"/>
  <c r="Z142" i="49" a="1"/>
  <c r="Z142" i="49" s="1"/>
  <c r="S142" i="49" a="1"/>
  <c r="S142" i="49" s="1"/>
  <c r="N160" i="49" a="1"/>
  <c r="N160" i="49" s="1"/>
  <c r="AB137" i="49" a="1"/>
  <c r="AB137" i="49" s="1"/>
  <c r="U137" i="49" a="1"/>
  <c r="U137" i="49" s="1"/>
  <c r="N171" i="49" a="1"/>
  <c r="N171" i="49" s="1"/>
  <c r="AB148" i="49" a="1"/>
  <c r="AB148" i="49" s="1"/>
  <c r="U148" i="49" a="1"/>
  <c r="U148" i="49" s="1"/>
  <c r="N158" i="49" a="1"/>
  <c r="N158" i="49" s="1"/>
  <c r="AB135" i="49" a="1"/>
  <c r="AB135" i="49" s="1"/>
  <c r="U135" i="49" a="1"/>
  <c r="U135" i="49" s="1"/>
  <c r="O161" i="49" a="1"/>
  <c r="O161" i="49" s="1"/>
  <c r="AC138" i="49" a="1"/>
  <c r="AC138" i="49" s="1"/>
  <c r="V138" i="49" a="1"/>
  <c r="V138" i="49" s="1"/>
  <c r="M159" i="49" a="1"/>
  <c r="M159" i="49" s="1"/>
  <c r="AA136" i="49" a="1"/>
  <c r="AA136" i="49" s="1"/>
  <c r="T136" i="49" a="1"/>
  <c r="T136" i="49" s="1"/>
  <c r="M157" i="49" a="1"/>
  <c r="M157" i="49" s="1"/>
  <c r="AA134" i="49" a="1"/>
  <c r="AA134" i="49" s="1"/>
  <c r="T134" i="49" a="1"/>
  <c r="T134" i="49" s="1"/>
  <c r="M160" i="49" a="1"/>
  <c r="M160" i="49" s="1"/>
  <c r="AA137" i="49" a="1"/>
  <c r="AA137" i="49" s="1"/>
  <c r="T137" i="49" a="1"/>
  <c r="T137" i="49" s="1"/>
  <c r="Y159" i="49" a="1"/>
  <c r="Y159" i="49" s="1"/>
  <c r="R159" i="49" a="1"/>
  <c r="R159" i="49" s="1"/>
  <c r="N168" i="49" a="1"/>
  <c r="N168" i="49" s="1"/>
  <c r="AB145" i="49" a="1"/>
  <c r="AB145" i="49" s="1"/>
  <c r="U145" i="49" a="1"/>
  <c r="U145" i="49" s="1"/>
  <c r="K158" i="49" a="1"/>
  <c r="K158" i="49" s="1"/>
  <c r="Y135" i="49" a="1"/>
  <c r="Y135" i="49" s="1"/>
  <c r="R135" i="49" a="1"/>
  <c r="R135" i="49" s="1"/>
  <c r="Q166" i="49" a="1"/>
  <c r="Q166" i="49" s="1"/>
  <c r="AE143" i="49" a="1"/>
  <c r="AE143" i="49" s="1"/>
  <c r="X143" i="49" a="1"/>
  <c r="X143" i="49" s="1"/>
  <c r="N161" i="49" a="1"/>
  <c r="N161" i="49" s="1"/>
  <c r="AB138" i="49" a="1"/>
  <c r="AB138" i="49" s="1"/>
  <c r="U138" i="49" a="1"/>
  <c r="U138" i="49" s="1"/>
  <c r="K166" i="49" a="1"/>
  <c r="K166" i="49" s="1"/>
  <c r="Y143" i="49" a="1"/>
  <c r="Y143" i="49" s="1"/>
  <c r="R143" i="49" a="1"/>
  <c r="R143" i="49" s="1"/>
  <c r="L152" i="49" a="1"/>
  <c r="L152" i="49" s="1"/>
  <c r="Z129" i="49" a="1"/>
  <c r="Z129" i="49" s="1"/>
  <c r="S129" i="49" a="1"/>
  <c r="S129" i="49" s="1"/>
  <c r="N170" i="49" a="1"/>
  <c r="N170" i="49" s="1"/>
  <c r="U147" i="49" a="1"/>
  <c r="U147" i="49" s="1"/>
  <c r="AB147" i="49" a="1"/>
  <c r="AB147" i="49" s="1"/>
  <c r="O155" i="49" a="1"/>
  <c r="O155" i="49" s="1"/>
  <c r="AC132" i="49" a="1"/>
  <c r="AC132" i="49" s="1"/>
  <c r="V132" i="49" a="1"/>
  <c r="V132" i="49" s="1"/>
  <c r="L153" i="49" a="1"/>
  <c r="L153" i="49" s="1"/>
  <c r="Z130" i="49" a="1"/>
  <c r="Z130" i="49" s="1"/>
  <c r="S130" i="49" a="1"/>
  <c r="S130" i="49" s="1"/>
  <c r="AE161" i="49" a="1"/>
  <c r="AE161" i="49" s="1"/>
  <c r="X161" i="49" a="1"/>
  <c r="X161" i="49" s="1"/>
  <c r="K168" i="49" a="1"/>
  <c r="K168" i="49" s="1"/>
  <c r="Y145" i="49" a="1"/>
  <c r="Y145" i="49" s="1"/>
  <c r="R145" i="49" a="1"/>
  <c r="R145" i="49" s="1"/>
  <c r="L160" i="49" a="1"/>
  <c r="L160" i="49" s="1"/>
  <c r="Z137" i="49" a="1"/>
  <c r="Z137" i="49" s="1"/>
  <c r="S137" i="49" a="1"/>
  <c r="S137" i="49" s="1"/>
  <c r="O172" i="49" a="1"/>
  <c r="O172" i="49" s="1"/>
  <c r="AC149" i="49" a="1"/>
  <c r="AC149" i="49" s="1"/>
  <c r="V149" i="49" a="1"/>
  <c r="V149" i="49" s="1"/>
  <c r="N157" i="49" a="1"/>
  <c r="N157" i="49" s="1"/>
  <c r="AB134" i="49" a="1"/>
  <c r="AB134" i="49" s="1"/>
  <c r="U134" i="49" a="1"/>
  <c r="U134" i="49" s="1"/>
  <c r="M153" i="49" a="1"/>
  <c r="M153" i="49" s="1"/>
  <c r="AA130" i="49" a="1"/>
  <c r="AA130" i="49" s="1"/>
  <c r="T130" i="49" a="1"/>
  <c r="T130" i="49" s="1"/>
  <c r="P164" i="49" a="1"/>
  <c r="P164" i="49" s="1"/>
  <c r="AD141" i="49" a="1"/>
  <c r="AD141" i="49" s="1"/>
  <c r="W141" i="49" a="1"/>
  <c r="W141" i="49" s="1"/>
  <c r="L169" i="49" a="1"/>
  <c r="L169" i="49" s="1"/>
  <c r="Z146" i="49" a="1"/>
  <c r="Z146" i="49" s="1"/>
  <c r="S146" i="49" a="1"/>
  <c r="S146" i="49" s="1"/>
  <c r="K151" i="49" a="1"/>
  <c r="K151" i="49" s="1"/>
  <c r="Y128" i="49" a="1"/>
  <c r="Y128" i="49" s="1"/>
  <c r="R128" i="49" a="1"/>
  <c r="R128" i="49" s="1"/>
  <c r="K155" i="49" a="1"/>
  <c r="K155" i="49" s="1"/>
  <c r="Y132" i="49" a="1"/>
  <c r="Y132" i="49" s="1"/>
  <c r="R132" i="49" a="1"/>
  <c r="R132" i="49" s="1"/>
  <c r="M154" i="49" a="1"/>
  <c r="M154" i="49" s="1"/>
  <c r="AA131" i="49" a="1"/>
  <c r="AA131" i="49" s="1"/>
  <c r="T131" i="49" a="1"/>
  <c r="T131" i="49" s="1"/>
  <c r="AA155" i="49" a="1"/>
  <c r="AA155" i="49" s="1"/>
  <c r="T155" i="49" a="1"/>
  <c r="T155" i="49" s="1"/>
  <c r="L161" i="49" a="1"/>
  <c r="L161" i="49" s="1"/>
  <c r="Z138" i="49" a="1"/>
  <c r="Z138" i="49" s="1"/>
  <c r="S138" i="49" a="1"/>
  <c r="S138" i="49" s="1"/>
  <c r="AA156" i="49" a="1"/>
  <c r="AA156" i="49" s="1"/>
  <c r="T156" i="49" a="1"/>
  <c r="T156" i="49" s="1"/>
  <c r="K163" i="49" a="1"/>
  <c r="K163" i="49" s="1"/>
  <c r="Y140" i="49" a="1"/>
  <c r="Y140" i="49" s="1"/>
  <c r="R140" i="49" a="1"/>
  <c r="R140" i="49" s="1"/>
  <c r="Q154" i="49" a="1"/>
  <c r="Q154" i="49" s="1"/>
  <c r="AE131" i="49" a="1"/>
  <c r="AE131" i="49" s="1"/>
  <c r="X131" i="49" a="1"/>
  <c r="X131" i="49" s="1"/>
  <c r="P167" i="49" a="1"/>
  <c r="P167" i="49" s="1"/>
  <c r="AD144" i="49" a="1"/>
  <c r="AD144" i="49" s="1"/>
  <c r="W144" i="49" a="1"/>
  <c r="W144" i="49" s="1"/>
  <c r="AD151" i="49" a="1"/>
  <c r="AD151" i="49" s="1"/>
  <c r="W151" i="49" a="1"/>
  <c r="W151" i="49" s="1"/>
  <c r="P153" i="49" a="1"/>
  <c r="P153" i="49" s="1"/>
  <c r="AD130" i="49" a="1"/>
  <c r="AD130" i="49" s="1"/>
  <c r="W130" i="49" a="1"/>
  <c r="W130" i="49" s="1"/>
  <c r="N167" i="49" a="1"/>
  <c r="N167" i="49" s="1"/>
  <c r="AB144" i="49" a="1"/>
  <c r="AB144" i="49" s="1"/>
  <c r="U144" i="49" a="1"/>
  <c r="U144" i="49" s="1"/>
  <c r="K156" i="49" a="1"/>
  <c r="K156" i="49" s="1"/>
  <c r="Y133" i="49" a="1"/>
  <c r="Y133" i="49" s="1"/>
  <c r="R133" i="49" a="1"/>
  <c r="R133" i="49" s="1"/>
  <c r="L172" i="49" a="1"/>
  <c r="L172" i="49" s="1"/>
  <c r="Z149" i="49" a="1"/>
  <c r="Z149" i="49" s="1"/>
  <c r="S149" i="49" a="1"/>
  <c r="S149" i="49" s="1"/>
  <c r="K170" i="49" a="1"/>
  <c r="K170" i="49" s="1"/>
  <c r="Y147" i="49" a="1"/>
  <c r="Y147" i="49" s="1"/>
  <c r="R147" i="49" a="1"/>
  <c r="R147" i="49" s="1"/>
  <c r="Q163" i="49" a="1"/>
  <c r="Q163" i="49" s="1"/>
  <c r="AE140" i="49" a="1"/>
  <c r="AE140" i="49" s="1"/>
  <c r="X140" i="49" a="1"/>
  <c r="X140" i="49" s="1"/>
  <c r="AE152" i="49" a="1"/>
  <c r="AE152" i="49" s="1"/>
  <c r="X152" i="49" a="1"/>
  <c r="X152" i="49" s="1"/>
  <c r="N154" i="49" a="1"/>
  <c r="N154" i="49" s="1"/>
  <c r="AB131" i="49" a="1"/>
  <c r="AB131" i="49" s="1"/>
  <c r="U131" i="49" a="1"/>
  <c r="U131" i="49" s="1"/>
  <c r="K169" i="49" a="1"/>
  <c r="K169" i="49" s="1"/>
  <c r="Y146" i="49" a="1"/>
  <c r="Y146" i="49" s="1"/>
  <c r="R146" i="49" a="1"/>
  <c r="R146" i="49" s="1"/>
  <c r="L166" i="49" a="1"/>
  <c r="L166" i="49" s="1"/>
  <c r="Z143" i="49" a="1"/>
  <c r="Z143" i="49" s="1"/>
  <c r="S143" i="49" a="1"/>
  <c r="S143" i="49" s="1"/>
  <c r="Z157" i="49" a="1"/>
  <c r="Z157" i="49" s="1"/>
  <c r="S157" i="49" a="1"/>
  <c r="S157" i="49" s="1"/>
  <c r="Q158" i="49" a="1"/>
  <c r="Q158" i="49" s="1"/>
  <c r="AE135" i="49" a="1"/>
  <c r="AE135" i="49" s="1"/>
  <c r="X135" i="49" a="1"/>
  <c r="X135" i="49" s="1"/>
  <c r="K153" i="49" a="1"/>
  <c r="K153" i="49" s="1"/>
  <c r="Y130" i="49" a="1"/>
  <c r="Y130" i="49" s="1"/>
  <c r="R130" i="49" a="1"/>
  <c r="R130" i="49" s="1"/>
  <c r="O162" i="49" a="1"/>
  <c r="O162" i="49" s="1"/>
  <c r="AC139" i="49" a="1"/>
  <c r="AC139" i="49" s="1"/>
  <c r="V139" i="49" a="1"/>
  <c r="V139" i="49" s="1"/>
  <c r="L167" i="49" a="1"/>
  <c r="L167" i="49" s="1"/>
  <c r="Z144" i="49" a="1"/>
  <c r="Z144" i="49" s="1"/>
  <c r="S144" i="49" a="1"/>
  <c r="S144" i="49" s="1"/>
  <c r="L164" i="49" a="1"/>
  <c r="L164" i="49" s="1"/>
  <c r="Z141" i="49" a="1"/>
  <c r="Z141" i="49" s="1"/>
  <c r="S141" i="49" a="1"/>
  <c r="S141" i="49" s="1"/>
  <c r="P159" i="49" a="1"/>
  <c r="P159" i="49" s="1"/>
  <c r="AD136" i="49" a="1"/>
  <c r="AD136" i="49" s="1"/>
  <c r="W136" i="49" a="1"/>
  <c r="W136" i="49" s="1"/>
  <c r="AA168" i="49" a="1"/>
  <c r="AA168" i="49" s="1"/>
  <c r="T168" i="49" a="1"/>
  <c r="T168" i="49" s="1"/>
  <c r="L170" i="49" a="1"/>
  <c r="L170" i="49" s="1"/>
  <c r="Z147" i="49" a="1"/>
  <c r="Z147" i="49" s="1"/>
  <c r="S147" i="49" a="1"/>
  <c r="S147" i="49" s="1"/>
  <c r="P152" i="49" a="1"/>
  <c r="P152" i="49" s="1"/>
  <c r="AD129" i="49" a="1"/>
  <c r="AD129" i="49" s="1"/>
  <c r="W129" i="49" a="1"/>
  <c r="W129" i="49" s="1"/>
  <c r="N163" i="49" a="1"/>
  <c r="N163" i="49" s="1"/>
  <c r="AB140" i="49" a="1"/>
  <c r="AB140" i="49" s="1"/>
  <c r="U140" i="49" a="1"/>
  <c r="U140" i="49" s="1"/>
  <c r="Q155" i="49" a="1"/>
  <c r="Q155" i="49" s="1"/>
  <c r="AE132" i="49" a="1"/>
  <c r="AE132" i="49" s="1"/>
  <c r="X132" i="49" a="1"/>
  <c r="X132" i="49" s="1"/>
  <c r="Y154" i="49" a="1"/>
  <c r="Y154" i="49" s="1"/>
  <c r="R154" i="49" a="1"/>
  <c r="R154" i="49" s="1"/>
  <c r="Q151" i="49" a="1"/>
  <c r="Q151" i="49" s="1"/>
  <c r="AE128" i="49" a="1"/>
  <c r="AE128" i="49" s="1"/>
  <c r="X128" i="49" a="1"/>
  <c r="X128" i="49" s="1"/>
  <c r="O163" i="49" a="1"/>
  <c r="O163" i="49" s="1"/>
  <c r="AC140" i="49" a="1"/>
  <c r="AC140" i="49" s="1"/>
  <c r="V140" i="49" a="1"/>
  <c r="V140" i="49" s="1"/>
  <c r="N155" i="49" a="1"/>
  <c r="N155" i="49" s="1"/>
  <c r="AB132" i="49" a="1"/>
  <c r="AB132" i="49" s="1"/>
  <c r="U132" i="49" a="1"/>
  <c r="U132" i="49" s="1"/>
  <c r="O166" i="49" a="1"/>
  <c r="O166" i="49" s="1"/>
  <c r="AC143" i="49" a="1"/>
  <c r="AC143" i="49" s="1"/>
  <c r="V143" i="49" a="1"/>
  <c r="V143" i="49" s="1"/>
  <c r="AC165" i="49" a="1"/>
  <c r="AC165" i="49" s="1"/>
  <c r="V165" i="49" a="1"/>
  <c r="V165" i="49" s="1"/>
  <c r="M161" i="49" a="1"/>
  <c r="M161" i="49" s="1"/>
  <c r="AA138" i="49" a="1"/>
  <c r="AA138" i="49" s="1"/>
  <c r="T138" i="49" a="1"/>
  <c r="T138" i="49" s="1"/>
  <c r="AD163" i="49" a="1"/>
  <c r="AD163" i="49" s="1"/>
  <c r="W163" i="49" a="1"/>
  <c r="W163" i="49" s="1"/>
  <c r="M172" i="49" a="1"/>
  <c r="M172" i="49" s="1"/>
  <c r="AA149" i="49" a="1"/>
  <c r="AA149" i="49" s="1"/>
  <c r="T149" i="49" a="1"/>
  <c r="T149" i="49" s="1"/>
  <c r="O168" i="49" a="1"/>
  <c r="O168" i="49" s="1"/>
  <c r="V145" i="49" a="1"/>
  <c r="V145" i="49" s="1"/>
  <c r="AC145" i="49" a="1"/>
  <c r="AC145" i="49" s="1"/>
  <c r="AA170" i="49" a="1"/>
  <c r="AA170" i="49" s="1"/>
  <c r="T170" i="49" a="1"/>
  <c r="T170" i="49" s="1"/>
  <c r="N151" i="49" a="1"/>
  <c r="N151" i="49" s="1"/>
  <c r="AB128" i="49" a="1"/>
  <c r="AB128" i="49" s="1"/>
  <c r="U128" i="49" a="1"/>
  <c r="U128" i="49" s="1"/>
  <c r="L163" i="49" a="1"/>
  <c r="L163" i="49" s="1"/>
  <c r="Z140" i="49" a="1"/>
  <c r="Z140" i="49" s="1"/>
  <c r="S140" i="49" a="1"/>
  <c r="S140" i="49" s="1"/>
  <c r="O160" i="49" a="1"/>
  <c r="O160" i="49" s="1"/>
  <c r="AC137" i="49" a="1"/>
  <c r="AC137" i="49" s="1"/>
  <c r="V137" i="49" a="1"/>
  <c r="V137" i="49" s="1"/>
  <c r="O169" i="49" a="1"/>
  <c r="O169" i="49" s="1"/>
  <c r="AC146" i="49" a="1"/>
  <c r="AC146" i="49" s="1"/>
  <c r="V146" i="49" a="1"/>
  <c r="V146" i="49" s="1"/>
  <c r="Q171" i="49" a="1"/>
  <c r="Q171" i="49" s="1"/>
  <c r="AE148" i="49" a="1"/>
  <c r="AE148" i="49" s="1"/>
  <c r="X148" i="49" a="1"/>
  <c r="X148" i="49" s="1"/>
  <c r="O151" i="49" a="1"/>
  <c r="O151" i="49" s="1"/>
  <c r="AC128" i="49" a="1"/>
  <c r="AC128" i="49" s="1"/>
  <c r="V128" i="49" a="1"/>
  <c r="V128" i="49" s="1"/>
  <c r="O164" i="49" a="1"/>
  <c r="O164" i="49" s="1"/>
  <c r="V141" i="49" a="1"/>
  <c r="V141" i="49" s="1"/>
  <c r="AC141" i="49" a="1"/>
  <c r="AC141" i="49" s="1"/>
  <c r="P166" i="49" a="1"/>
  <c r="P166" i="49" s="1"/>
  <c r="AD143" i="49" a="1"/>
  <c r="AD143" i="49" s="1"/>
  <c r="W143" i="49" a="1"/>
  <c r="W143" i="49" s="1"/>
  <c r="M163" i="49" a="1"/>
  <c r="M163" i="49" s="1"/>
  <c r="AA140" i="49" a="1"/>
  <c r="AA140" i="49" s="1"/>
  <c r="T140" i="49" a="1"/>
  <c r="T140" i="49" s="1"/>
  <c r="P169" i="49" a="1"/>
  <c r="P169" i="49" s="1"/>
  <c r="AD146" i="49" a="1"/>
  <c r="AD146" i="49" s="1"/>
  <c r="W146" i="49" a="1"/>
  <c r="W146" i="49" s="1"/>
  <c r="K172" i="49" a="1"/>
  <c r="K172" i="49" s="1"/>
  <c r="Y149" i="49" a="1"/>
  <c r="Y149" i="49" s="1"/>
  <c r="R149" i="49" a="1"/>
  <c r="R149" i="49" s="1"/>
  <c r="L158" i="49" a="1"/>
  <c r="L158" i="49" s="1"/>
  <c r="Z135" i="49" a="1"/>
  <c r="Z135" i="49" s="1"/>
  <c r="S135" i="49" a="1"/>
  <c r="S135" i="49" s="1"/>
  <c r="O156" i="49" a="1"/>
  <c r="O156" i="49" s="1"/>
  <c r="AC133" i="49" a="1"/>
  <c r="AC133" i="49" s="1"/>
  <c r="V133" i="49" a="1"/>
  <c r="V133" i="49" s="1"/>
  <c r="N169" i="49" a="1"/>
  <c r="N169" i="49" s="1"/>
  <c r="AB146" i="49" a="1"/>
  <c r="AB146" i="49" s="1"/>
  <c r="U146" i="49" a="1"/>
  <c r="U146" i="49" s="1"/>
  <c r="M162" i="49" a="1"/>
  <c r="M162" i="49" s="1"/>
  <c r="AA139" i="49" a="1"/>
  <c r="AA139" i="49" s="1"/>
  <c r="T139" i="49" a="1"/>
  <c r="T139" i="49" s="1"/>
  <c r="O167" i="49" a="1"/>
  <c r="O167" i="49" s="1"/>
  <c r="AC144" i="49" a="1"/>
  <c r="AC144" i="49" s="1"/>
  <c r="V144" i="49" a="1"/>
  <c r="V144" i="49" s="1"/>
  <c r="Q165" i="49" a="1"/>
  <c r="Q165" i="49" s="1"/>
  <c r="AE142" i="49" a="1"/>
  <c r="AE142" i="49" s="1"/>
  <c r="X142" i="49" a="1"/>
  <c r="X142" i="49" s="1"/>
  <c r="O170" i="49" a="1"/>
  <c r="O170" i="49" s="1"/>
  <c r="AC147" i="49" a="1"/>
  <c r="AC147" i="49" s="1"/>
  <c r="V147" i="49" a="1"/>
  <c r="V147" i="49" s="1"/>
  <c r="Q157" i="49" a="1"/>
  <c r="Q157" i="49" s="1"/>
  <c r="AE134" i="49" a="1"/>
  <c r="AE134" i="49" s="1"/>
  <c r="X134" i="49" a="1"/>
  <c r="X134" i="49" s="1"/>
  <c r="M164" i="49" a="1"/>
  <c r="M164" i="49" s="1"/>
  <c r="AA141" i="49" a="1"/>
  <c r="AA141" i="49" s="1"/>
  <c r="T141" i="49" a="1"/>
  <c r="T141" i="49" s="1"/>
  <c r="O157" i="49" a="1"/>
  <c r="O157" i="49" s="1"/>
  <c r="V134" i="49" a="1"/>
  <c r="V134" i="49" s="1"/>
  <c r="AC134" i="49" a="1"/>
  <c r="AC134" i="49" s="1"/>
  <c r="K171" i="49" a="1"/>
  <c r="K171" i="49" s="1"/>
  <c r="Y148" i="49" a="1"/>
  <c r="Y148" i="49" s="1"/>
  <c r="R148" i="49" a="1"/>
  <c r="R148" i="49" s="1"/>
  <c r="Q162" i="49" a="1"/>
  <c r="Q162" i="49" s="1"/>
  <c r="AE139" i="49" a="1"/>
  <c r="AE139" i="49" s="1"/>
  <c r="X139" i="49" a="1"/>
  <c r="X139" i="49" s="1"/>
  <c r="O158" i="49" a="1"/>
  <c r="O158" i="49" s="1"/>
  <c r="AC135" i="49" a="1"/>
  <c r="AC135" i="49" s="1"/>
  <c r="V135" i="49" a="1"/>
  <c r="V135" i="49" s="1"/>
  <c r="P165" i="49" a="1"/>
  <c r="P165" i="49" s="1"/>
  <c r="AD142" i="49" a="1"/>
  <c r="AD142" i="49" s="1"/>
  <c r="W142" i="49" a="1"/>
  <c r="W142" i="49" s="1"/>
  <c r="L154" i="49" a="1"/>
  <c r="L154" i="49" s="1"/>
  <c r="Z131" i="49" a="1"/>
  <c r="Z131" i="49" s="1"/>
  <c r="S131" i="49" a="1"/>
  <c r="S131" i="49" s="1"/>
  <c r="Q164" i="49" a="1"/>
  <c r="Q164" i="49" s="1"/>
  <c r="AE141" i="49" a="1"/>
  <c r="AE141" i="49" s="1"/>
  <c r="X141" i="49" a="1"/>
  <c r="X141" i="49" s="1"/>
  <c r="P158" i="49" a="1"/>
  <c r="P158" i="49" s="1"/>
  <c r="AD135" i="49" a="1"/>
  <c r="AD135" i="49" s="1"/>
  <c r="W135" i="49" a="1"/>
  <c r="W135" i="49" s="1"/>
  <c r="P171" i="49" a="1"/>
  <c r="P171" i="49" s="1"/>
  <c r="AD148" i="49" a="1"/>
  <c r="AD148" i="49" s="1"/>
  <c r="W148" i="49" a="1"/>
  <c r="W148" i="49" s="1"/>
  <c r="L168" i="49" a="1"/>
  <c r="L168" i="49" s="1"/>
  <c r="Z145" i="49" a="1"/>
  <c r="Z145" i="49" s="1"/>
  <c r="S145" i="49" a="1"/>
  <c r="S145" i="49" s="1"/>
  <c r="Q156" i="49" a="1"/>
  <c r="Q156" i="49" s="1"/>
  <c r="AE133" i="49" a="1"/>
  <c r="AE133" i="49" s="1"/>
  <c r="X133" i="49" a="1"/>
  <c r="X133" i="49" s="1"/>
  <c r="O153" i="49" a="1"/>
  <c r="O153" i="49" s="1"/>
  <c r="AC130" i="49" a="1"/>
  <c r="AC130" i="49" s="1"/>
  <c r="V130" i="49" a="1"/>
  <c r="V130" i="49" s="1"/>
  <c r="Q153" i="49" a="1"/>
  <c r="Q153" i="49" s="1"/>
  <c r="AE130" i="49" a="1"/>
  <c r="AE130" i="49" s="1"/>
  <c r="X130" i="49" a="1"/>
  <c r="X130" i="49" s="1"/>
  <c r="P156" i="49" a="1"/>
  <c r="P156" i="49" s="1"/>
  <c r="AD133" i="49" a="1"/>
  <c r="AD133" i="49" s="1"/>
  <c r="W133" i="49" a="1"/>
  <c r="W133" i="49" s="1"/>
  <c r="L156" i="49" a="1"/>
  <c r="L156" i="49" s="1"/>
  <c r="Z133" i="49" a="1"/>
  <c r="Z133" i="49" s="1"/>
  <c r="S133" i="49" a="1"/>
  <c r="S133" i="49" s="1"/>
  <c r="O152" i="49" a="1"/>
  <c r="O152" i="49" s="1"/>
  <c r="AC129" i="49" a="1"/>
  <c r="AC129" i="49" s="1"/>
  <c r="V129" i="49" a="1"/>
  <c r="V129" i="49" s="1"/>
  <c r="N162" i="49" a="1"/>
  <c r="N162" i="49" s="1"/>
  <c r="AB139" i="49" a="1"/>
  <c r="AB139" i="49" s="1"/>
  <c r="U139" i="49" a="1"/>
  <c r="U139" i="49" s="1"/>
  <c r="P172" i="49" a="1"/>
  <c r="P172" i="49" s="1"/>
  <c r="AD149" i="49" a="1"/>
  <c r="AD149" i="49" s="1"/>
  <c r="W149" i="49" a="1"/>
  <c r="W149" i="49" s="1"/>
  <c r="AB166" i="49" a="1"/>
  <c r="AB166" i="49" s="1"/>
  <c r="U166" i="49" a="1"/>
  <c r="U166" i="49" s="1"/>
  <c r="P161" i="49" a="1"/>
  <c r="P161" i="49" s="1"/>
  <c r="AD138" i="49" a="1"/>
  <c r="AD138" i="49" s="1"/>
  <c r="W138" i="49" a="1"/>
  <c r="W138" i="49" s="1"/>
  <c r="N153" i="49" a="1"/>
  <c r="N153" i="49" s="1"/>
  <c r="AB130" i="49" a="1"/>
  <c r="AB130" i="49" s="1"/>
  <c r="U130" i="49" a="1"/>
  <c r="U130" i="49" s="1"/>
  <c r="P154" i="49" a="1"/>
  <c r="P154" i="49" s="1"/>
  <c r="AD131" i="49" a="1"/>
  <c r="AD131" i="49" s="1"/>
  <c r="W131" i="49" a="1"/>
  <c r="W131" i="49" s="1"/>
  <c r="K160" i="49" a="1"/>
  <c r="K160" i="49" s="1"/>
  <c r="R137" i="49" a="1"/>
  <c r="R137" i="49" s="1"/>
  <c r="Y137" i="49" a="1"/>
  <c r="Y137" i="49" s="1"/>
  <c r="M169" i="49" a="1"/>
  <c r="M169" i="49" s="1"/>
  <c r="AA146" i="49" a="1"/>
  <c r="AA146" i="49" s="1"/>
  <c r="T146" i="49" a="1"/>
  <c r="T146" i="49" s="1"/>
  <c r="Q160" i="49" a="1"/>
  <c r="Q160" i="49" s="1"/>
  <c r="AE137" i="49" a="1"/>
  <c r="AE137" i="49" s="1"/>
  <c r="X137" i="49" a="1"/>
  <c r="X137" i="49" s="1"/>
  <c r="K152" i="49" a="1"/>
  <c r="K152" i="49" s="1"/>
  <c r="Y129" i="49" a="1"/>
  <c r="Y129" i="49" s="1"/>
  <c r="R129" i="49" a="1"/>
  <c r="R129" i="49" s="1"/>
  <c r="K165" i="49" a="1"/>
  <c r="K165" i="49" s="1"/>
  <c r="Y142" i="49" a="1"/>
  <c r="Y142" i="49" s="1"/>
  <c r="R142" i="49" a="1"/>
  <c r="R142" i="49" s="1"/>
  <c r="O159" i="49" a="1"/>
  <c r="O159" i="49" s="1"/>
  <c r="AC136" i="49" a="1"/>
  <c r="AC136" i="49" s="1"/>
  <c r="V136" i="49" a="1"/>
  <c r="V136" i="49" s="1"/>
  <c r="N156" i="49" a="1"/>
  <c r="N156" i="49" s="1"/>
  <c r="AB133" i="49" a="1"/>
  <c r="AB133" i="49" s="1"/>
  <c r="U133" i="49" a="1"/>
  <c r="U133" i="49" s="1"/>
  <c r="Q169" i="49" a="1"/>
  <c r="Q169" i="49" s="1"/>
  <c r="AE146" i="49" a="1"/>
  <c r="AE146" i="49" s="1"/>
  <c r="X146" i="49" a="1"/>
  <c r="X146" i="49" s="1"/>
  <c r="P168" i="49" a="1"/>
  <c r="P168" i="49" s="1"/>
  <c r="AD145" i="49" a="1"/>
  <c r="AD145" i="49" s="1"/>
  <c r="W145" i="49" a="1"/>
  <c r="W145" i="49" s="1"/>
  <c r="P157" i="49" a="1"/>
  <c r="P157" i="49" s="1"/>
  <c r="AD134" i="49" a="1"/>
  <c r="AD134" i="49" s="1"/>
  <c r="W134" i="49" a="1"/>
  <c r="W134" i="49" s="1"/>
  <c r="M165" i="49" a="1"/>
  <c r="M165" i="49" s="1"/>
  <c r="AA142" i="49" a="1"/>
  <c r="AA142" i="49" s="1"/>
  <c r="T142" i="49" a="1"/>
  <c r="T142" i="49" s="1"/>
  <c r="L159" i="49" a="1"/>
  <c r="L159" i="49" s="1"/>
  <c r="Z136" i="49" a="1"/>
  <c r="Z136" i="49" s="1"/>
  <c r="S136" i="49" a="1"/>
  <c r="S136" i="49" s="1"/>
  <c r="M167" i="49" a="1"/>
  <c r="M167" i="49" s="1"/>
  <c r="AA144" i="49" a="1"/>
  <c r="AA144" i="49" s="1"/>
  <c r="T144" i="49" a="1"/>
  <c r="T144" i="49" s="1"/>
  <c r="M151" i="49" a="1"/>
  <c r="M151" i="49" s="1"/>
  <c r="AA128" i="49" a="1"/>
  <c r="AA128" i="49" s="1"/>
  <c r="T128" i="49" a="1"/>
  <c r="T128" i="49" s="1"/>
  <c r="Q170" i="49" a="1"/>
  <c r="Q170" i="49" s="1"/>
  <c r="AE147" i="49" a="1"/>
  <c r="AE147" i="49" s="1"/>
  <c r="X147" i="49" a="1"/>
  <c r="X147" i="49" s="1"/>
  <c r="AC154" i="49" a="1"/>
  <c r="AC154" i="49" s="1"/>
  <c r="V154" i="49" a="1"/>
  <c r="V154" i="49" s="1"/>
  <c r="Z151" i="49" a="1"/>
  <c r="Z151" i="49" s="1"/>
  <c r="S151" i="49" a="1"/>
  <c r="S151" i="49" s="1"/>
  <c r="Q172" i="49" a="1"/>
  <c r="Q172" i="49" s="1"/>
  <c r="AE149" i="49" a="1"/>
  <c r="AE149" i="49" s="1"/>
  <c r="X149" i="49" a="1"/>
  <c r="X149" i="49" s="1"/>
  <c r="L155" i="49" a="1"/>
  <c r="L155" i="49" s="1"/>
  <c r="Z132" i="49" a="1"/>
  <c r="Z132" i="49" s="1"/>
  <c r="S132" i="49" a="1"/>
  <c r="S132" i="49" s="1"/>
  <c r="Q168" i="49" a="1"/>
  <c r="Q168" i="49" s="1"/>
  <c r="AE145" i="49" a="1"/>
  <c r="AE145" i="49" s="1"/>
  <c r="X145" i="49" a="1"/>
  <c r="X145" i="49" s="1"/>
  <c r="O171" i="49" a="1"/>
  <c r="O171" i="49" s="1"/>
  <c r="AC148" i="49" a="1"/>
  <c r="AC148" i="49" s="1"/>
  <c r="V148" i="49" a="1"/>
  <c r="V148" i="49" s="1"/>
  <c r="N164" i="49" a="1"/>
  <c r="N164" i="49" s="1"/>
  <c r="AB141" i="49" a="1"/>
  <c r="AB141" i="49" s="1"/>
  <c r="U141" i="49" a="1"/>
  <c r="U141" i="49" s="1"/>
  <c r="L171" i="49" a="1"/>
  <c r="L171" i="49" s="1"/>
  <c r="Z148" i="49" a="1"/>
  <c r="Z148" i="49" s="1"/>
  <c r="S148" i="49" a="1"/>
  <c r="S148" i="49" s="1"/>
  <c r="P162" i="49" a="1"/>
  <c r="P162" i="49" s="1"/>
  <c r="AD139" i="49" a="1"/>
  <c r="AD139" i="49" s="1"/>
  <c r="W139" i="49" a="1"/>
  <c r="W139" i="49" s="1"/>
  <c r="N152" i="49" a="1"/>
  <c r="N152" i="49" s="1"/>
  <c r="AB129" i="49" a="1"/>
  <c r="AB129" i="49" s="1"/>
  <c r="U129" i="49" a="1"/>
  <c r="U129" i="49" s="1"/>
  <c r="P170" i="49" a="1"/>
  <c r="P170" i="49" s="1"/>
  <c r="AD147" i="49" a="1"/>
  <c r="AD147" i="49" s="1"/>
  <c r="W147" i="49" a="1"/>
  <c r="W147" i="49" s="1"/>
  <c r="Q159" i="49" a="1"/>
  <c r="Q159" i="49" s="1"/>
  <c r="AE136" i="49" a="1"/>
  <c r="AE136" i="49" s="1"/>
  <c r="X136" i="49" a="1"/>
  <c r="X136" i="49" s="1"/>
  <c r="K167" i="49" a="1"/>
  <c r="K167" i="49" s="1"/>
  <c r="Y144" i="49" a="1"/>
  <c r="Y144" i="49" s="1"/>
  <c r="R144" i="49" a="1"/>
  <c r="R144" i="49" s="1"/>
  <c r="P160" i="49" a="1"/>
  <c r="P160" i="49" s="1"/>
  <c r="AD137" i="49" a="1"/>
  <c r="AD137" i="49" s="1"/>
  <c r="W137" i="49" a="1"/>
  <c r="W137" i="49" s="1"/>
  <c r="Q167" i="49" a="1"/>
  <c r="Q167" i="49" s="1"/>
  <c r="AE144" i="49" a="1"/>
  <c r="AE144" i="49" s="1"/>
  <c r="X144" i="49" a="1"/>
  <c r="X144" i="49" s="1"/>
  <c r="K164" i="49" a="1"/>
  <c r="K164" i="49" s="1"/>
  <c r="Y141" i="49" a="1"/>
  <c r="Y141" i="49" s="1"/>
  <c r="R141" i="49" a="1"/>
  <c r="R141" i="49" s="1"/>
  <c r="P155" i="49" a="1"/>
  <c r="P155" i="49" s="1"/>
  <c r="AD132" i="49" a="1"/>
  <c r="AD132" i="49" s="1"/>
  <c r="W132" i="49" a="1"/>
  <c r="W132" i="49" s="1"/>
  <c r="AA152" i="49" a="1"/>
  <c r="AA152" i="49" s="1"/>
  <c r="T152" i="49" a="1"/>
  <c r="T152" i="49" s="1"/>
  <c r="M166" i="49" a="1"/>
  <c r="M166" i="49" s="1"/>
  <c r="AA143" i="49" a="1"/>
  <c r="AA143" i="49" s="1"/>
  <c r="T143" i="49" a="1"/>
  <c r="T143" i="49" s="1"/>
  <c r="Q150" i="49" a="1"/>
  <c r="Q150" i="49" s="1"/>
  <c r="AE127" i="49" a="1"/>
  <c r="AE127" i="49" s="1"/>
  <c r="X127" i="49" a="1"/>
  <c r="X127" i="49" s="1"/>
  <c r="N159" i="49" a="1"/>
  <c r="N159" i="49" s="1"/>
  <c r="AB136" i="49" a="1"/>
  <c r="AB136" i="49" s="1"/>
  <c r="U136" i="49" a="1"/>
  <c r="U136" i="49" s="1"/>
  <c r="B72" i="30"/>
  <c r="B34" i="30"/>
  <c r="B73" i="30"/>
  <c r="B67" i="30"/>
  <c r="E92" i="33"/>
  <c r="G92" i="33" s="1"/>
  <c r="E91" i="33"/>
  <c r="F91" i="33" s="1"/>
  <c r="B65" i="30"/>
  <c r="E90" i="33"/>
  <c r="F90" i="33" s="1"/>
  <c r="C86" i="33"/>
  <c r="E83" i="33"/>
  <c r="D86" i="33" s="1"/>
  <c r="C82" i="33"/>
  <c r="C78" i="33"/>
  <c r="E78" i="33" s="1"/>
  <c r="E79" i="33"/>
  <c r="D82" i="33" s="1"/>
  <c r="E75" i="33"/>
  <c r="D78" i="33" s="1"/>
  <c r="C74" i="33"/>
  <c r="E74" i="33" s="1"/>
  <c r="F74" i="33" s="1"/>
  <c r="G15" i="33"/>
  <c r="B60" i="30"/>
  <c r="B50" i="30"/>
  <c r="B161" i="29"/>
  <c r="B8" i="29" s="1"/>
  <c r="AN6" i="33"/>
  <c r="AN7" i="33"/>
  <c r="AN9" i="33"/>
  <c r="AO9" i="33" s="1"/>
  <c r="AN10" i="33"/>
  <c r="AN11" i="33"/>
  <c r="AO11" i="33" s="1"/>
  <c r="E71" i="33"/>
  <c r="D74" i="33" s="1"/>
  <c r="K61" i="35" a="1"/>
  <c r="K61" i="35" s="1"/>
  <c r="L61" i="35" a="1"/>
  <c r="L61" i="35" s="1"/>
  <c r="M61" i="35" a="1"/>
  <c r="M61" i="35" s="1"/>
  <c r="N61" i="35" a="1"/>
  <c r="N61" i="35" s="1"/>
  <c r="O61" i="35" a="1"/>
  <c r="O61" i="35" s="1"/>
  <c r="P61" i="35" a="1"/>
  <c r="P61" i="35" s="1"/>
  <c r="R61" i="35" a="1"/>
  <c r="R61" i="35" s="1"/>
  <c r="S61" i="35" a="1"/>
  <c r="S61" i="35" s="1"/>
  <c r="T61" i="35" a="1"/>
  <c r="T61" i="35" s="1"/>
  <c r="U61" i="35" a="1"/>
  <c r="U61" i="35" s="1"/>
  <c r="V61" i="35" a="1"/>
  <c r="V61" i="35" s="1"/>
  <c r="W61" i="35" a="1"/>
  <c r="W61" i="35" s="1"/>
  <c r="C30" i="32" a="1"/>
  <c r="C30" i="32" s="1"/>
  <c r="Q61" i="35" a="1"/>
  <c r="Q61" i="35" s="1"/>
  <c r="C45" i="30"/>
  <c r="C46" i="30"/>
  <c r="C47" i="30"/>
  <c r="C44" i="30"/>
  <c r="B43" i="30"/>
  <c r="B42" i="30"/>
  <c r="B75" i="30"/>
  <c r="B29" i="30"/>
  <c r="B28" i="30"/>
  <c r="B27" i="30"/>
  <c r="P111" i="35"/>
  <c r="P110" i="35"/>
  <c r="P109" i="35"/>
  <c r="P108" i="35"/>
  <c r="P107" i="35"/>
  <c r="P106" i="35"/>
  <c r="P105" i="35"/>
  <c r="P104" i="35"/>
  <c r="P103" i="35"/>
  <c r="P102" i="35"/>
  <c r="P101" i="35"/>
  <c r="P100" i="35"/>
  <c r="P99" i="35"/>
  <c r="P98" i="35"/>
  <c r="P97" i="35"/>
  <c r="P96" i="35"/>
  <c r="P95" i="35"/>
  <c r="P94" i="35"/>
  <c r="P93" i="35"/>
  <c r="P92" i="35"/>
  <c r="P91" i="35"/>
  <c r="P90" i="35"/>
  <c r="P89" i="35"/>
  <c r="I83" i="35"/>
  <c r="I82" i="35"/>
  <c r="I81" i="35"/>
  <c r="I80" i="35"/>
  <c r="I79" i="35"/>
  <c r="I78" i="35"/>
  <c r="I77" i="35"/>
  <c r="I76" i="35"/>
  <c r="I75" i="35"/>
  <c r="I74" i="35"/>
  <c r="I73" i="35"/>
  <c r="I72" i="35"/>
  <c r="I71" i="35"/>
  <c r="I70" i="35"/>
  <c r="I69" i="35"/>
  <c r="I68" i="35"/>
  <c r="I67" i="35"/>
  <c r="I66" i="35"/>
  <c r="I65" i="35"/>
  <c r="I64" i="35"/>
  <c r="I63" i="35"/>
  <c r="I62" i="35"/>
  <c r="I61" i="35"/>
  <c r="B73" i="32"/>
  <c r="I73" i="32" s="1"/>
  <c r="J73" i="32" s="1"/>
  <c r="B72" i="32"/>
  <c r="I72" i="32" s="1"/>
  <c r="K72" i="32" s="1"/>
  <c r="B71" i="32"/>
  <c r="I71" i="32" s="1"/>
  <c r="B70" i="32"/>
  <c r="I70" i="32" s="1"/>
  <c r="B69" i="32"/>
  <c r="I69" i="32" s="1"/>
  <c r="B68" i="32"/>
  <c r="I68" i="32" s="1"/>
  <c r="B67" i="32"/>
  <c r="I67" i="32" s="1"/>
  <c r="B45" i="32"/>
  <c r="C45" i="32"/>
  <c r="D45" i="32"/>
  <c r="E45" i="32"/>
  <c r="F45" i="32"/>
  <c r="G45" i="32"/>
  <c r="H45" i="32"/>
  <c r="B46" i="32"/>
  <c r="C46" i="32"/>
  <c r="D46" i="32"/>
  <c r="E46" i="32"/>
  <c r="F46" i="32"/>
  <c r="G46" i="32"/>
  <c r="H46" i="32"/>
  <c r="B47" i="32"/>
  <c r="C47" i="32"/>
  <c r="D47" i="32"/>
  <c r="E47" i="32"/>
  <c r="F47" i="32"/>
  <c r="G47" i="32"/>
  <c r="H47" i="32"/>
  <c r="B48" i="32"/>
  <c r="C48" i="32"/>
  <c r="D48" i="32"/>
  <c r="E48" i="32"/>
  <c r="F48" i="32"/>
  <c r="G48" i="32"/>
  <c r="H48" i="32"/>
  <c r="B49" i="32"/>
  <c r="C49" i="32"/>
  <c r="D49" i="32"/>
  <c r="E49" i="32"/>
  <c r="F49" i="32"/>
  <c r="G49" i="32"/>
  <c r="H49" i="32"/>
  <c r="B50" i="32"/>
  <c r="C50" i="32"/>
  <c r="D50" i="32"/>
  <c r="E50" i="32"/>
  <c r="F50" i="32"/>
  <c r="G50" i="32"/>
  <c r="H50" i="32"/>
  <c r="B51" i="32"/>
  <c r="C51" i="32"/>
  <c r="D51" i="32"/>
  <c r="E51" i="32"/>
  <c r="F51" i="32"/>
  <c r="G51" i="32"/>
  <c r="H51" i="32"/>
  <c r="B52" i="32"/>
  <c r="C52" i="32"/>
  <c r="D52" i="32"/>
  <c r="E52" i="32"/>
  <c r="F52" i="32"/>
  <c r="G52" i="32"/>
  <c r="H52" i="32"/>
  <c r="B53" i="32"/>
  <c r="C53" i="32"/>
  <c r="D53" i="32"/>
  <c r="E53" i="32"/>
  <c r="F53" i="32"/>
  <c r="G53" i="32"/>
  <c r="H53" i="32"/>
  <c r="B54" i="32"/>
  <c r="C54" i="32"/>
  <c r="D54" i="32"/>
  <c r="E54" i="32"/>
  <c r="F54" i="32"/>
  <c r="G54" i="32"/>
  <c r="H54" i="32"/>
  <c r="B55" i="32"/>
  <c r="C55" i="32"/>
  <c r="D55" i="32"/>
  <c r="E55" i="32"/>
  <c r="F55" i="32"/>
  <c r="G55" i="32"/>
  <c r="H55" i="32"/>
  <c r="B56" i="32"/>
  <c r="C56" i="32"/>
  <c r="D56" i="32"/>
  <c r="E56" i="32"/>
  <c r="F56" i="32"/>
  <c r="G56" i="32"/>
  <c r="H56" i="32"/>
  <c r="B57" i="32"/>
  <c r="C57" i="32"/>
  <c r="D57" i="32"/>
  <c r="E57" i="32"/>
  <c r="F57" i="32"/>
  <c r="G57" i="32"/>
  <c r="H57" i="32"/>
  <c r="B58" i="32"/>
  <c r="C58" i="32"/>
  <c r="D58" i="32"/>
  <c r="E58" i="32"/>
  <c r="F58" i="32"/>
  <c r="G58" i="32"/>
  <c r="H58" i="32"/>
  <c r="B59" i="32"/>
  <c r="C59" i="32"/>
  <c r="D59" i="32"/>
  <c r="E59" i="32"/>
  <c r="F59" i="32"/>
  <c r="G59" i="32"/>
  <c r="H59" i="32"/>
  <c r="B60" i="32"/>
  <c r="C60" i="32"/>
  <c r="D60" i="32"/>
  <c r="E60" i="32"/>
  <c r="F60" i="32"/>
  <c r="G60" i="32"/>
  <c r="H60" i="32"/>
  <c r="B61" i="32"/>
  <c r="C61" i="32"/>
  <c r="D61" i="32"/>
  <c r="E61" i="32"/>
  <c r="F61" i="32"/>
  <c r="G61" i="32"/>
  <c r="H61" i="32"/>
  <c r="B62" i="32"/>
  <c r="C62" i="32"/>
  <c r="D62" i="32"/>
  <c r="E62" i="32"/>
  <c r="F62" i="32"/>
  <c r="G62" i="32"/>
  <c r="H62" i="32"/>
  <c r="B63" i="32"/>
  <c r="C63" i="32"/>
  <c r="D63" i="32"/>
  <c r="E63" i="32"/>
  <c r="F63" i="32"/>
  <c r="G63" i="32"/>
  <c r="H63" i="32"/>
  <c r="B64" i="32"/>
  <c r="C64" i="32"/>
  <c r="D64" i="32"/>
  <c r="E64" i="32"/>
  <c r="F64" i="32"/>
  <c r="G64" i="32"/>
  <c r="H64" i="32"/>
  <c r="B65" i="32"/>
  <c r="C65" i="32"/>
  <c r="D65" i="32"/>
  <c r="E65" i="32"/>
  <c r="F65" i="32"/>
  <c r="G65" i="32"/>
  <c r="H65" i="32"/>
  <c r="B66" i="32"/>
  <c r="C66" i="32"/>
  <c r="D66" i="32"/>
  <c r="E66" i="32"/>
  <c r="F66" i="32"/>
  <c r="G66" i="32"/>
  <c r="H66" i="32"/>
  <c r="H44" i="32"/>
  <c r="G44" i="32"/>
  <c r="F44" i="32"/>
  <c r="E44" i="32"/>
  <c r="B44" i="32"/>
  <c r="D44" i="32"/>
  <c r="C44" i="32"/>
  <c r="B12" i="30"/>
  <c r="AE166" i="49" l="1" a="1"/>
  <c r="AE166" i="49" s="1"/>
  <c r="X166" i="49" a="1"/>
  <c r="X166" i="49" s="1"/>
  <c r="Z165" i="49" a="1"/>
  <c r="Z165" i="49" s="1"/>
  <c r="S165" i="49" a="1"/>
  <c r="S165" i="49" s="1"/>
  <c r="Y167" i="49" a="1"/>
  <c r="Y167" i="49" s="1"/>
  <c r="R167" i="49" a="1"/>
  <c r="R167" i="49" s="1"/>
  <c r="AE168" i="49" a="1"/>
  <c r="AE168" i="49" s="1"/>
  <c r="X168" i="49" a="1"/>
  <c r="X168" i="49" s="1"/>
  <c r="AA151" i="49" a="1"/>
  <c r="AA151" i="49" s="1"/>
  <c r="T151" i="49" a="1"/>
  <c r="T151" i="49" s="1"/>
  <c r="AC159" i="49" a="1"/>
  <c r="AC159" i="49" s="1"/>
  <c r="V159" i="49" a="1"/>
  <c r="V159" i="49" s="1"/>
  <c r="AD161" i="49" a="1"/>
  <c r="AD161" i="49" s="1"/>
  <c r="W161" i="49" a="1"/>
  <c r="W161" i="49" s="1"/>
  <c r="AB162" i="49" a="1"/>
  <c r="AB162" i="49" s="1"/>
  <c r="U162" i="49" a="1"/>
  <c r="U162" i="49" s="1"/>
  <c r="AD171" i="49" a="1"/>
  <c r="AD171" i="49" s="1"/>
  <c r="W171" i="49" a="1"/>
  <c r="W171" i="49" s="1"/>
  <c r="AC157" i="49" a="1"/>
  <c r="AC157" i="49" s="1"/>
  <c r="V157" i="49" a="1"/>
  <c r="V157" i="49" s="1"/>
  <c r="AC156" i="49" a="1"/>
  <c r="AC156" i="49" s="1"/>
  <c r="V156" i="49" a="1"/>
  <c r="V156" i="49" s="1"/>
  <c r="AE171" i="49" a="1"/>
  <c r="AE171" i="49" s="1"/>
  <c r="X171" i="49" a="1"/>
  <c r="X171" i="49" s="1"/>
  <c r="Z167" i="49" a="1"/>
  <c r="Z167" i="49" s="1"/>
  <c r="S167" i="49" a="1"/>
  <c r="S167" i="49" s="1"/>
  <c r="AD153" i="49" a="1"/>
  <c r="AD153" i="49" s="1"/>
  <c r="W153" i="49" a="1"/>
  <c r="W153" i="49" s="1"/>
  <c r="AE154" i="49" a="1"/>
  <c r="AE154" i="49" s="1"/>
  <c r="X154" i="49" a="1"/>
  <c r="X154" i="49" s="1"/>
  <c r="Z161" i="49" a="1"/>
  <c r="Z161" i="49" s="1"/>
  <c r="S161" i="49" a="1"/>
  <c r="S161" i="49" s="1"/>
  <c r="Y155" i="49" a="1"/>
  <c r="Y155" i="49" s="1"/>
  <c r="R155" i="49" a="1"/>
  <c r="R155" i="49" s="1"/>
  <c r="Y168" i="49" a="1"/>
  <c r="Y168" i="49" s="1"/>
  <c r="R168" i="49" a="1"/>
  <c r="R168" i="49" s="1"/>
  <c r="AC155" i="49" a="1"/>
  <c r="AC155" i="49" s="1"/>
  <c r="V155" i="49" a="1"/>
  <c r="V155" i="49" s="1"/>
  <c r="AA159" i="49" a="1"/>
  <c r="AA159" i="49" s="1"/>
  <c r="T159" i="49" a="1"/>
  <c r="T159" i="49" s="1"/>
  <c r="AA158" i="49" a="1"/>
  <c r="AA158" i="49" s="1"/>
  <c r="T158" i="49" a="1"/>
  <c r="T158" i="49" s="1"/>
  <c r="AD168" i="49" a="1"/>
  <c r="AD168" i="49" s="1"/>
  <c r="W168" i="49" a="1"/>
  <c r="W168" i="49" s="1"/>
  <c r="Y160" i="49" a="1"/>
  <c r="Y160" i="49" s="1"/>
  <c r="R160" i="49" a="1"/>
  <c r="R160" i="49" s="1"/>
  <c r="Z172" i="49" a="1"/>
  <c r="Z172" i="49" s="1"/>
  <c r="S172" i="49" a="1"/>
  <c r="S172" i="49" s="1"/>
  <c r="AB157" i="49" a="1"/>
  <c r="AB157" i="49" s="1"/>
  <c r="U157" i="49" a="1"/>
  <c r="U157" i="49" s="1"/>
  <c r="AB171" i="49" a="1"/>
  <c r="AB171" i="49" s="1"/>
  <c r="U171" i="49" a="1"/>
  <c r="U171" i="49" s="1"/>
  <c r="AA171" i="49" a="1"/>
  <c r="AA171" i="49" s="1"/>
  <c r="T171" i="49" a="1"/>
  <c r="T171" i="49" s="1"/>
  <c r="Z171" i="49" a="1"/>
  <c r="Z171" i="49" s="1"/>
  <c r="S171" i="49" a="1"/>
  <c r="S171" i="49" s="1"/>
  <c r="AC153" i="49" a="1"/>
  <c r="AC153" i="49" s="1"/>
  <c r="V153" i="49" a="1"/>
  <c r="V153" i="49" s="1"/>
  <c r="AD156" i="49" a="1"/>
  <c r="AD156" i="49" s="1"/>
  <c r="W156" i="49" a="1"/>
  <c r="W156" i="49" s="1"/>
  <c r="Z154" i="49" a="1"/>
  <c r="Z154" i="49" s="1"/>
  <c r="S154" i="49" a="1"/>
  <c r="S154" i="49" s="1"/>
  <c r="AE163" i="49" a="1"/>
  <c r="AE163" i="49" s="1"/>
  <c r="X163" i="49" a="1"/>
  <c r="X163" i="49" s="1"/>
  <c r="AE167" i="49" a="1"/>
  <c r="AE167" i="49" s="1"/>
  <c r="X167" i="49" a="1"/>
  <c r="X167" i="49" s="1"/>
  <c r="AB164" i="49" a="1"/>
  <c r="AB164" i="49" s="1"/>
  <c r="U164" i="49" a="1"/>
  <c r="U164" i="49" s="1"/>
  <c r="AE169" i="49" a="1"/>
  <c r="AE169" i="49" s="1"/>
  <c r="X169" i="49" a="1"/>
  <c r="X169" i="49" s="1"/>
  <c r="AD154" i="49" a="1"/>
  <c r="AD154" i="49" s="1"/>
  <c r="W154" i="49" a="1"/>
  <c r="W154" i="49" s="1"/>
  <c r="AE156" i="49" a="1"/>
  <c r="AE156" i="49" s="1"/>
  <c r="X156" i="49" a="1"/>
  <c r="X156" i="49" s="1"/>
  <c r="AE162" i="49" a="1"/>
  <c r="AE162" i="49" s="1"/>
  <c r="X162" i="49" a="1"/>
  <c r="X162" i="49" s="1"/>
  <c r="AA162" i="49" a="1"/>
  <c r="AA162" i="49" s="1"/>
  <c r="T162" i="49" a="1"/>
  <c r="T162" i="49" s="1"/>
  <c r="AC164" i="49" a="1"/>
  <c r="AC164" i="49" s="1"/>
  <c r="V164" i="49" a="1"/>
  <c r="V164" i="49" s="1"/>
  <c r="AD152" i="49" a="1"/>
  <c r="AD152" i="49" s="1"/>
  <c r="W152" i="49" a="1"/>
  <c r="W152" i="49" s="1"/>
  <c r="AD159" i="49" a="1"/>
  <c r="AD159" i="49" s="1"/>
  <c r="W159" i="49" a="1"/>
  <c r="W159" i="49" s="1"/>
  <c r="Y156" i="49" a="1"/>
  <c r="Y156" i="49" s="1"/>
  <c r="R156" i="49" a="1"/>
  <c r="R156" i="49" s="1"/>
  <c r="AC172" i="49" a="1"/>
  <c r="AC172" i="49" s="1"/>
  <c r="V172" i="49" a="1"/>
  <c r="V172" i="49" s="1"/>
  <c r="Y158" i="49" a="1"/>
  <c r="Y158" i="49" s="1"/>
  <c r="R158" i="49" a="1"/>
  <c r="R158" i="49" s="1"/>
  <c r="AA160" i="49" a="1"/>
  <c r="AA160" i="49" s="1"/>
  <c r="T160" i="49" a="1"/>
  <c r="T160" i="49" s="1"/>
  <c r="AB172" i="49" a="1"/>
  <c r="AB172" i="49" s="1"/>
  <c r="U172" i="49" a="1"/>
  <c r="U172" i="49" s="1"/>
  <c r="AC167" i="49" a="1"/>
  <c r="AC167" i="49" s="1"/>
  <c r="V167" i="49" a="1"/>
  <c r="V167" i="49" s="1"/>
  <c r="AB163" i="49" a="1"/>
  <c r="AB163" i="49" s="1"/>
  <c r="U163" i="49" a="1"/>
  <c r="U163" i="49" s="1"/>
  <c r="AE158" i="49" a="1"/>
  <c r="AE158" i="49" s="1"/>
  <c r="X158" i="49" a="1"/>
  <c r="X158" i="49" s="1"/>
  <c r="AD164" i="49" a="1"/>
  <c r="AD164" i="49" s="1"/>
  <c r="W164" i="49" a="1"/>
  <c r="W164" i="49" s="1"/>
  <c r="AE159" i="49" a="1"/>
  <c r="AE159" i="49" s="1"/>
  <c r="X159" i="49" a="1"/>
  <c r="X159" i="49" s="1"/>
  <c r="Z155" i="49" a="1"/>
  <c r="Z155" i="49" s="1"/>
  <c r="S155" i="49" a="1"/>
  <c r="S155" i="49" s="1"/>
  <c r="AA167" i="49" a="1"/>
  <c r="AA167" i="49" s="1"/>
  <c r="T167" i="49" a="1"/>
  <c r="T167" i="49" s="1"/>
  <c r="Y165" i="49" a="1"/>
  <c r="Y165" i="49" s="1"/>
  <c r="R165" i="49" a="1"/>
  <c r="R165" i="49" s="1"/>
  <c r="AC152" i="49" a="1"/>
  <c r="AC152" i="49" s="1"/>
  <c r="V152" i="49" a="1"/>
  <c r="V152" i="49" s="1"/>
  <c r="AD158" i="49" a="1"/>
  <c r="AD158" i="49" s="1"/>
  <c r="W158" i="49" a="1"/>
  <c r="W158" i="49" s="1"/>
  <c r="AA164" i="49" a="1"/>
  <c r="AA164" i="49" s="1"/>
  <c r="T164" i="49" a="1"/>
  <c r="T164" i="49" s="1"/>
  <c r="Z158" i="49" a="1"/>
  <c r="Z158" i="49" s="1"/>
  <c r="S158" i="49" a="1"/>
  <c r="S158" i="49" s="1"/>
  <c r="AC169" i="49" a="1"/>
  <c r="AC169" i="49" s="1"/>
  <c r="V169" i="49" a="1"/>
  <c r="V169" i="49" s="1"/>
  <c r="AC162" i="49" a="1"/>
  <c r="AC162" i="49" s="1"/>
  <c r="V162" i="49" a="1"/>
  <c r="V162" i="49" s="1"/>
  <c r="Y163" i="49" a="1"/>
  <c r="Y163" i="49" s="1"/>
  <c r="R163" i="49" a="1"/>
  <c r="R163" i="49" s="1"/>
  <c r="Y151" i="49" a="1"/>
  <c r="Y151" i="49" s="1"/>
  <c r="R151" i="49" a="1"/>
  <c r="R151" i="49" s="1"/>
  <c r="AB170" i="49" a="1"/>
  <c r="AB170" i="49" s="1"/>
  <c r="U170" i="49" a="1"/>
  <c r="U170" i="49" s="1"/>
  <c r="AC161" i="49" a="1"/>
  <c r="AC161" i="49" s="1"/>
  <c r="V161" i="49" a="1"/>
  <c r="V161" i="49" s="1"/>
  <c r="Z162" i="49" a="1"/>
  <c r="Z162" i="49" s="1"/>
  <c r="S162" i="49" a="1"/>
  <c r="S162" i="49" s="1"/>
  <c r="Y164" i="49" a="1"/>
  <c r="Y164" i="49" s="1"/>
  <c r="R164" i="49" a="1"/>
  <c r="R164" i="49" s="1"/>
  <c r="AD169" i="49" a="1"/>
  <c r="AD169" i="49" s="1"/>
  <c r="W169" i="49" a="1"/>
  <c r="W169" i="49" s="1"/>
  <c r="Z163" i="49" a="1"/>
  <c r="Z163" i="49" s="1"/>
  <c r="S163" i="49" a="1"/>
  <c r="S163" i="49" s="1"/>
  <c r="AA161" i="49" a="1"/>
  <c r="AA161" i="49" s="1"/>
  <c r="T161" i="49" a="1"/>
  <c r="T161" i="49" s="1"/>
  <c r="Y166" i="49" a="1"/>
  <c r="Y166" i="49" s="1"/>
  <c r="R166" i="49" a="1"/>
  <c r="R166" i="49" s="1"/>
  <c r="AD155" i="49" a="1"/>
  <c r="AD155" i="49" s="1"/>
  <c r="W155" i="49" a="1"/>
  <c r="W155" i="49" s="1"/>
  <c r="AD162" i="49" a="1"/>
  <c r="AD162" i="49" s="1"/>
  <c r="W162" i="49" a="1"/>
  <c r="W162" i="49" s="1"/>
  <c r="AD157" i="49" a="1"/>
  <c r="AD157" i="49" s="1"/>
  <c r="W157" i="49" a="1"/>
  <c r="W157" i="49" s="1"/>
  <c r="AA169" i="49" a="1"/>
  <c r="AA169" i="49" s="1"/>
  <c r="T169" i="49" a="1"/>
  <c r="T169" i="49" s="1"/>
  <c r="AE153" i="49" a="1"/>
  <c r="AE153" i="49" s="1"/>
  <c r="X153" i="49" a="1"/>
  <c r="X153" i="49" s="1"/>
  <c r="AD165" i="49" a="1"/>
  <c r="AD165" i="49" s="1"/>
  <c r="W165" i="49" a="1"/>
  <c r="W165" i="49" s="1"/>
  <c r="AE165" i="49" a="1"/>
  <c r="AE165" i="49" s="1"/>
  <c r="X165" i="49" a="1"/>
  <c r="X165" i="49" s="1"/>
  <c r="AA163" i="49" a="1"/>
  <c r="AA163" i="49" s="1"/>
  <c r="T163" i="49" a="1"/>
  <c r="T163" i="49" s="1"/>
  <c r="AB151" i="49" a="1"/>
  <c r="AB151" i="49" s="1"/>
  <c r="U151" i="49" a="1"/>
  <c r="U151" i="49" s="1"/>
  <c r="AA172" i="49" a="1"/>
  <c r="AA172" i="49" s="1"/>
  <c r="T172" i="49" a="1"/>
  <c r="T172" i="49" s="1"/>
  <c r="AC163" i="49" a="1"/>
  <c r="AC163" i="49" s="1"/>
  <c r="V163" i="49" a="1"/>
  <c r="V163" i="49" s="1"/>
  <c r="AE155" i="49" a="1"/>
  <c r="AE155" i="49" s="1"/>
  <c r="X155" i="49" a="1"/>
  <c r="X155" i="49" s="1"/>
  <c r="AB154" i="49" a="1"/>
  <c r="AB154" i="49" s="1"/>
  <c r="U154" i="49" a="1"/>
  <c r="U154" i="49" s="1"/>
  <c r="Y170" i="49" a="1"/>
  <c r="Y170" i="49" s="1"/>
  <c r="R170" i="49" a="1"/>
  <c r="R170" i="49" s="1"/>
  <c r="AA153" i="49" a="1"/>
  <c r="AA153" i="49" s="1"/>
  <c r="T153" i="49" a="1"/>
  <c r="T153" i="49" s="1"/>
  <c r="AB161" i="49" a="1"/>
  <c r="AB161" i="49" s="1"/>
  <c r="U161" i="49" a="1"/>
  <c r="U161" i="49" s="1"/>
  <c r="AB160" i="49" a="1"/>
  <c r="AB160" i="49" s="1"/>
  <c r="U160" i="49" a="1"/>
  <c r="U160" i="49" s="1"/>
  <c r="AD166" i="49" a="1"/>
  <c r="AD166" i="49" s="1"/>
  <c r="W166" i="49" a="1"/>
  <c r="W166" i="49" s="1"/>
  <c r="AA165" i="49" a="1"/>
  <c r="AA165" i="49" s="1"/>
  <c r="T165" i="49" a="1"/>
  <c r="T165" i="49" s="1"/>
  <c r="AC168" i="49" a="1"/>
  <c r="AC168" i="49" s="1"/>
  <c r="V168" i="49" a="1"/>
  <c r="V168" i="49" s="1"/>
  <c r="AB155" i="49" a="1"/>
  <c r="AB155" i="49" s="1"/>
  <c r="U155" i="49" a="1"/>
  <c r="U155" i="49" s="1"/>
  <c r="AD160" i="49" a="1"/>
  <c r="AD160" i="49" s="1"/>
  <c r="W160" i="49" a="1"/>
  <c r="W160" i="49" s="1"/>
  <c r="AC171" i="49" a="1"/>
  <c r="AC171" i="49" s="1"/>
  <c r="V171" i="49" a="1"/>
  <c r="V171" i="49" s="1"/>
  <c r="AE170" i="49" a="1"/>
  <c r="AE170" i="49" s="1"/>
  <c r="X170" i="49" a="1"/>
  <c r="X170" i="49" s="1"/>
  <c r="AB156" i="49" a="1"/>
  <c r="AB156" i="49" s="1"/>
  <c r="U156" i="49" a="1"/>
  <c r="U156" i="49" s="1"/>
  <c r="AB153" i="49" a="1"/>
  <c r="AB153" i="49" s="1"/>
  <c r="U153" i="49" a="1"/>
  <c r="U153" i="49" s="1"/>
  <c r="AD172" i="49" a="1"/>
  <c r="AD172" i="49" s="1"/>
  <c r="W172" i="49" a="1"/>
  <c r="W172" i="49" s="1"/>
  <c r="Z168" i="49" a="1"/>
  <c r="Z168" i="49" s="1"/>
  <c r="S168" i="49" a="1"/>
  <c r="S168" i="49" s="1"/>
  <c r="Y171" i="49" a="1"/>
  <c r="Y171" i="49" s="1"/>
  <c r="R171" i="49" a="1"/>
  <c r="R171" i="49" s="1"/>
  <c r="AB169" i="49" a="1"/>
  <c r="AB169" i="49" s="1"/>
  <c r="U169" i="49" a="1"/>
  <c r="U169" i="49" s="1"/>
  <c r="AC151" i="49" a="1"/>
  <c r="AC151" i="49" s="1"/>
  <c r="V151" i="49" a="1"/>
  <c r="V151" i="49" s="1"/>
  <c r="Z170" i="49" a="1"/>
  <c r="Z170" i="49" s="1"/>
  <c r="S170" i="49" a="1"/>
  <c r="S170" i="49" s="1"/>
  <c r="Z164" i="49" a="1"/>
  <c r="Z164" i="49" s="1"/>
  <c r="S164" i="49" a="1"/>
  <c r="S164" i="49" s="1"/>
  <c r="AB167" i="49" a="1"/>
  <c r="AB167" i="49" s="1"/>
  <c r="U167" i="49" a="1"/>
  <c r="U167" i="49" s="1"/>
  <c r="AD167" i="49" a="1"/>
  <c r="AD167" i="49" s="1"/>
  <c r="W167" i="49" a="1"/>
  <c r="W167" i="49" s="1"/>
  <c r="AA154" i="49" a="1"/>
  <c r="AA154" i="49" s="1"/>
  <c r="T154" i="49" a="1"/>
  <c r="T154" i="49" s="1"/>
  <c r="Z160" i="49" a="1"/>
  <c r="Z160" i="49" s="1"/>
  <c r="S160" i="49" a="1"/>
  <c r="S160" i="49" s="1"/>
  <c r="Z153" i="49" a="1"/>
  <c r="Z153" i="49" s="1"/>
  <c r="S153" i="49" a="1"/>
  <c r="S153" i="49" s="1"/>
  <c r="AB168" i="49" a="1"/>
  <c r="AB168" i="49" s="1"/>
  <c r="U168" i="49" a="1"/>
  <c r="U168" i="49" s="1"/>
  <c r="AA157" i="49" a="1"/>
  <c r="AA157" i="49" s="1"/>
  <c r="T157" i="49" a="1"/>
  <c r="T157" i="49" s="1"/>
  <c r="AB165" i="49" a="1"/>
  <c r="AB165" i="49" s="1"/>
  <c r="U165" i="49" a="1"/>
  <c r="U165" i="49" s="1"/>
  <c r="AA166" i="49" a="1"/>
  <c r="AA166" i="49" s="1"/>
  <c r="T166" i="49" a="1"/>
  <c r="T166" i="49" s="1"/>
  <c r="AC158" i="49" a="1"/>
  <c r="AC158" i="49" s="1"/>
  <c r="V158" i="49" a="1"/>
  <c r="V158" i="49" s="1"/>
  <c r="AE151" i="49" a="1"/>
  <c r="AE151" i="49" s="1"/>
  <c r="X151" i="49" a="1"/>
  <c r="X151" i="49" s="1"/>
  <c r="AB152" i="49" a="1"/>
  <c r="AB152" i="49" s="1"/>
  <c r="U152" i="49" a="1"/>
  <c r="U152" i="49" s="1"/>
  <c r="AE160" i="49" a="1"/>
  <c r="AE160" i="49" s="1"/>
  <c r="X160" i="49" a="1"/>
  <c r="X160" i="49" s="1"/>
  <c r="AC170" i="49" a="1"/>
  <c r="AC170" i="49" s="1"/>
  <c r="V170" i="49" a="1"/>
  <c r="V170" i="49" s="1"/>
  <c r="Y169" i="49" a="1"/>
  <c r="Y169" i="49" s="1"/>
  <c r="R169" i="49" a="1"/>
  <c r="R169" i="49" s="1"/>
  <c r="AD170" i="49" a="1"/>
  <c r="AD170" i="49" s="1"/>
  <c r="W170" i="49" a="1"/>
  <c r="W170" i="49" s="1"/>
  <c r="AE172" i="49" a="1"/>
  <c r="AE172" i="49" s="1"/>
  <c r="X172" i="49" a="1"/>
  <c r="X172" i="49" s="1"/>
  <c r="Z159" i="49" a="1"/>
  <c r="Z159" i="49" s="1"/>
  <c r="S159" i="49" a="1"/>
  <c r="S159" i="49" s="1"/>
  <c r="Y152" i="49" a="1"/>
  <c r="Y152" i="49" s="1"/>
  <c r="R152" i="49" a="1"/>
  <c r="R152" i="49" s="1"/>
  <c r="Z156" i="49" a="1"/>
  <c r="Z156" i="49" s="1"/>
  <c r="S156" i="49" a="1"/>
  <c r="S156" i="49" s="1"/>
  <c r="AE164" i="49" a="1"/>
  <c r="AE164" i="49" s="1"/>
  <c r="X164" i="49" a="1"/>
  <c r="X164" i="49" s="1"/>
  <c r="AE157" i="49" a="1"/>
  <c r="AE157" i="49" s="1"/>
  <c r="X157" i="49" a="1"/>
  <c r="X157" i="49" s="1"/>
  <c r="Y172" i="49" a="1"/>
  <c r="Y172" i="49" s="1"/>
  <c r="R172" i="49" a="1"/>
  <c r="R172" i="49" s="1"/>
  <c r="AC160" i="49" a="1"/>
  <c r="AC160" i="49" s="1"/>
  <c r="V160" i="49" a="1"/>
  <c r="V160" i="49" s="1"/>
  <c r="AC166" i="49" a="1"/>
  <c r="AC166" i="49" s="1"/>
  <c r="V166" i="49" a="1"/>
  <c r="V166" i="49" s="1"/>
  <c r="Y153" i="49" a="1"/>
  <c r="Y153" i="49" s="1"/>
  <c r="R153" i="49" a="1"/>
  <c r="R153" i="49" s="1"/>
  <c r="Z166" i="49" a="1"/>
  <c r="Z166" i="49" s="1"/>
  <c r="S166" i="49" a="1"/>
  <c r="S166" i="49" s="1"/>
  <c r="Z169" i="49" a="1"/>
  <c r="Z169" i="49" s="1"/>
  <c r="S169" i="49" a="1"/>
  <c r="S169" i="49" s="1"/>
  <c r="Z152" i="49" a="1"/>
  <c r="Z152" i="49" s="1"/>
  <c r="S152" i="49" a="1"/>
  <c r="S152" i="49" s="1"/>
  <c r="AB158" i="49" a="1"/>
  <c r="AB158" i="49" s="1"/>
  <c r="U158" i="49" a="1"/>
  <c r="U158" i="49" s="1"/>
  <c r="Y162" i="49" a="1"/>
  <c r="Y162" i="49" s="1"/>
  <c r="R162" i="49" a="1"/>
  <c r="R162" i="49" s="1"/>
  <c r="Y157" i="49" a="1"/>
  <c r="Y157" i="49" s="1"/>
  <c r="R157" i="49" a="1"/>
  <c r="R157" i="49" s="1"/>
  <c r="AE150" i="49" a="1"/>
  <c r="AE150" i="49" s="1"/>
  <c r="X150" i="49" a="1"/>
  <c r="X150" i="49" s="1"/>
  <c r="AB159" i="49" a="1"/>
  <c r="AB159" i="49" s="1"/>
  <c r="U159" i="49" a="1"/>
  <c r="U159" i="49" s="1"/>
  <c r="I44" i="32"/>
  <c r="BS12" i="33"/>
  <c r="BS16" i="33"/>
  <c r="BS20" i="33"/>
  <c r="BS24" i="33"/>
  <c r="BS13" i="33"/>
  <c r="BS17" i="33"/>
  <c r="BS21" i="33"/>
  <c r="BS25" i="33"/>
  <c r="BS14" i="33"/>
  <c r="BS18" i="33"/>
  <c r="BS22" i="33"/>
  <c r="BS26" i="33"/>
  <c r="BS19" i="33"/>
  <c r="BS23" i="33"/>
  <c r="BS27" i="33"/>
  <c r="G91" i="33"/>
  <c r="F92" i="33"/>
  <c r="G90" i="33"/>
  <c r="E86" i="33"/>
  <c r="F86" i="33" s="1"/>
  <c r="E82" i="33"/>
  <c r="F82" i="33" s="1"/>
  <c r="F78" i="33"/>
  <c r="B78" i="33" s="1"/>
  <c r="B62" i="30" s="1"/>
  <c r="B74" i="33"/>
  <c r="B61" i="30" s="1"/>
  <c r="AP11" i="33"/>
  <c r="AP5" i="33"/>
  <c r="AP10" i="33"/>
  <c r="AP8" i="33"/>
  <c r="AP7" i="33"/>
  <c r="AP9" i="33"/>
  <c r="AP6" i="33"/>
  <c r="K73" i="32"/>
  <c r="I58" i="32"/>
  <c r="J58" i="32" s="1"/>
  <c r="I50" i="32"/>
  <c r="J50" i="32" s="1"/>
  <c r="K69" i="32"/>
  <c r="I60" i="32"/>
  <c r="J60" i="32" s="1"/>
  <c r="I52" i="32"/>
  <c r="J52" i="32" s="1"/>
  <c r="I45" i="32"/>
  <c r="I53" i="32"/>
  <c r="I66" i="32"/>
  <c r="K66" i="32" s="1"/>
  <c r="I61" i="32"/>
  <c r="J61" i="32" s="1"/>
  <c r="I51" i="32"/>
  <c r="I59" i="32"/>
  <c r="J59" i="32" s="1"/>
  <c r="J67" i="32"/>
  <c r="K67" i="32"/>
  <c r="I62" i="32"/>
  <c r="I54" i="32"/>
  <c r="I46" i="32"/>
  <c r="K71" i="32"/>
  <c r="I64" i="32"/>
  <c r="I56" i="32"/>
  <c r="I48" i="32"/>
  <c r="K68" i="32"/>
  <c r="I57" i="32"/>
  <c r="I63" i="32"/>
  <c r="I55" i="32"/>
  <c r="I47" i="32"/>
  <c r="I65" i="32"/>
  <c r="I49" i="32"/>
  <c r="J70" i="32"/>
  <c r="K70" i="32"/>
  <c r="J72" i="32"/>
  <c r="B10" i="30"/>
  <c r="AA44" i="32"/>
  <c r="AB44" i="32"/>
  <c r="AC44" i="32"/>
  <c r="AD44" i="32"/>
  <c r="AE44" i="32"/>
  <c r="AF44" i="32"/>
  <c r="AG44" i="32"/>
  <c r="AH44" i="32"/>
  <c r="AI44" i="32"/>
  <c r="AJ44" i="32"/>
  <c r="AK44" i="32"/>
  <c r="AL44" i="32"/>
  <c r="AM44" i="32"/>
  <c r="AN44" i="32"/>
  <c r="AO44" i="32"/>
  <c r="AP44" i="32"/>
  <c r="AQ44" i="32"/>
  <c r="AR44" i="32"/>
  <c r="AS44" i="32"/>
  <c r="AT44" i="32"/>
  <c r="B24" i="30"/>
  <c r="B23" i="30"/>
  <c r="F24" i="33"/>
  <c r="F25" i="33"/>
  <c r="F26" i="33"/>
  <c r="F27" i="33"/>
  <c r="F28" i="33"/>
  <c r="B29" i="33" s="1"/>
  <c r="B21" i="30" s="1"/>
  <c r="F23" i="33"/>
  <c r="F21" i="33"/>
  <c r="A79" i="29"/>
  <c r="A205" i="29"/>
  <c r="A206" i="29"/>
  <c r="A204" i="29"/>
  <c r="A118" i="29"/>
  <c r="A117" i="29"/>
  <c r="A65" i="29"/>
  <c r="A66" i="29"/>
  <c r="D114" i="29"/>
  <c r="D111" i="29"/>
  <c r="D112" i="29"/>
  <c r="D113" i="29"/>
  <c r="D110" i="29"/>
  <c r="C114" i="29"/>
  <c r="C111" i="29"/>
  <c r="C112" i="29"/>
  <c r="C113" i="29"/>
  <c r="C110" i="29"/>
  <c r="D109" i="29"/>
  <c r="C109" i="29"/>
  <c r="C108" i="29"/>
  <c r="P199" i="29"/>
  <c r="P198" i="29"/>
  <c r="P196" i="29"/>
  <c r="P195" i="29"/>
  <c r="P193" i="29"/>
  <c r="P192" i="29"/>
  <c r="P190" i="29"/>
  <c r="P189" i="29"/>
  <c r="K209" i="29"/>
  <c r="B209" i="29"/>
  <c r="B206" i="29"/>
  <c r="B205" i="29"/>
  <c r="B204" i="29"/>
  <c r="M203" i="29"/>
  <c r="N205" i="29"/>
  <c r="N206" i="29"/>
  <c r="N204" i="29"/>
  <c r="N203" i="29"/>
  <c r="B201" i="29"/>
  <c r="B9" i="29" s="1"/>
  <c r="A197" i="29"/>
  <c r="A194" i="29"/>
  <c r="A191" i="29"/>
  <c r="A188" i="29"/>
  <c r="A154" i="29"/>
  <c r="A155" i="29"/>
  <c r="A156" i="29"/>
  <c r="A157" i="29"/>
  <c r="A158" i="29"/>
  <c r="A159" i="29"/>
  <c r="A153" i="29"/>
  <c r="B197" i="29"/>
  <c r="I187" i="29"/>
  <c r="H187" i="29"/>
  <c r="B191" i="29"/>
  <c r="B188" i="29"/>
  <c r="B185" i="29"/>
  <c r="B184" i="29"/>
  <c r="C166" i="29"/>
  <c r="C165" i="29"/>
  <c r="C164" i="29"/>
  <c r="C163" i="29"/>
  <c r="B152" i="29"/>
  <c r="B151" i="29"/>
  <c r="B7" i="29" s="1"/>
  <c r="J21" i="32"/>
  <c r="I21" i="32"/>
  <c r="AI5" i="33"/>
  <c r="I10" i="32"/>
  <c r="J10" i="32" s="1"/>
  <c r="AC5" i="33" s="1"/>
  <c r="C36" i="32" a="1"/>
  <c r="C36" i="32" s="1"/>
  <c r="AI11" i="33" s="1"/>
  <c r="C35" i="32" a="1"/>
  <c r="C35" i="32" s="1"/>
  <c r="AI10" i="33" s="1"/>
  <c r="C34" i="32" a="1"/>
  <c r="C34" i="32" s="1"/>
  <c r="AI9" i="33" s="1"/>
  <c r="C33" i="32" a="1"/>
  <c r="C33" i="32" s="1"/>
  <c r="AI8" i="33" s="1"/>
  <c r="C32" i="32"/>
  <c r="AI7" i="33" s="1"/>
  <c r="C31" i="32" a="1"/>
  <c r="C31" i="32" s="1"/>
  <c r="AI6" i="33" s="1"/>
  <c r="D75" i="29"/>
  <c r="D76" i="29"/>
  <c r="D77" i="29"/>
  <c r="B65" i="29"/>
  <c r="K51" i="32" l="1"/>
  <c r="G89" i="33"/>
  <c r="B90" i="33" s="1"/>
  <c r="B66" i="30" s="1"/>
  <c r="B86" i="33"/>
  <c r="B64" i="30" s="1"/>
  <c r="B82" i="33"/>
  <c r="B63" i="30" s="1"/>
  <c r="J51" i="32"/>
  <c r="K52" i="32"/>
  <c r="K45" i="32"/>
  <c r="K61" i="32"/>
  <c r="J66" i="32"/>
  <c r="K58" i="32"/>
  <c r="K60" i="32"/>
  <c r="K44" i="32"/>
  <c r="K50" i="32"/>
  <c r="K53" i="32"/>
  <c r="K59" i="32"/>
  <c r="K64" i="32"/>
  <c r="J64" i="32"/>
  <c r="K57" i="32"/>
  <c r="J57" i="32"/>
  <c r="K49" i="32"/>
  <c r="K46" i="32"/>
  <c r="K65" i="32"/>
  <c r="J65" i="32"/>
  <c r="J54" i="32"/>
  <c r="K54" i="32"/>
  <c r="K47" i="32"/>
  <c r="J62" i="32"/>
  <c r="K62" i="32"/>
  <c r="K55" i="32"/>
  <c r="J55" i="32"/>
  <c r="K48" i="32"/>
  <c r="J48" i="32"/>
  <c r="J63" i="32"/>
  <c r="K63" i="32"/>
  <c r="K56" i="32"/>
  <c r="J56" i="32"/>
  <c r="AK6" i="33"/>
  <c r="B23" i="33" a="1"/>
  <c r="P16" i="33"/>
  <c r="AK9" i="33"/>
  <c r="AK10" i="33"/>
  <c r="AK11" i="33"/>
  <c r="AK8" i="33"/>
  <c r="AK7" i="33"/>
  <c r="B23" i="33" l="1"/>
  <c r="G23" i="33" s="1"/>
  <c r="B16" i="30" s="1"/>
  <c r="G27" i="33"/>
  <c r="B20" i="30" s="1"/>
  <c r="G26" i="33"/>
  <c r="B19" i="30" s="1"/>
  <c r="C18" i="30"/>
  <c r="C19" i="30"/>
  <c r="C20" i="30"/>
  <c r="G25" i="33"/>
  <c r="B18" i="30" s="1"/>
  <c r="C17" i="30"/>
  <c r="G24" i="33"/>
  <c r="B17" i="30" s="1"/>
  <c r="B80" i="29"/>
  <c r="C81" i="29"/>
  <c r="B39" i="31"/>
  <c r="B81" i="29" s="1"/>
  <c r="B79" i="29"/>
  <c r="D73" i="29"/>
  <c r="D72" i="29"/>
  <c r="C73" i="29"/>
  <c r="C74" i="29"/>
  <c r="C75" i="29"/>
  <c r="C76" i="29"/>
  <c r="C77" i="29"/>
  <c r="C72" i="29"/>
  <c r="B68" i="29"/>
  <c r="A62" i="29"/>
  <c r="A63" i="29"/>
  <c r="A64" i="29"/>
  <c r="A61" i="29"/>
  <c r="B66" i="29"/>
  <c r="B64" i="29"/>
  <c r="B63" i="29"/>
  <c r="B62" i="29"/>
  <c r="I60" i="29"/>
  <c r="H60" i="29"/>
  <c r="B61" i="29"/>
  <c r="B59" i="29"/>
  <c r="C16" i="30" l="1"/>
  <c r="P82" i="31"/>
  <c r="P83" i="31"/>
  <c r="P126" i="29" s="1"/>
  <c r="D141" i="34"/>
  <c r="D142" i="34"/>
  <c r="D143" i="34"/>
  <c r="D144" i="34"/>
  <c r="D145" i="34"/>
  <c r="D146" i="34"/>
  <c r="D147" i="34"/>
  <c r="D148" i="34"/>
  <c r="D149" i="34"/>
  <c r="D150" i="34"/>
  <c r="D151" i="34"/>
  <c r="D152" i="34"/>
  <c r="D153" i="34"/>
  <c r="D154" i="34"/>
  <c r="D155" i="34"/>
  <c r="D156" i="34"/>
  <c r="D157" i="34"/>
  <c r="D158" i="34"/>
  <c r="D159" i="34"/>
  <c r="D160" i="34"/>
  <c r="D161" i="34"/>
  <c r="D162" i="34"/>
  <c r="E141" i="34"/>
  <c r="E142" i="34"/>
  <c r="E143" i="34"/>
  <c r="E144" i="34"/>
  <c r="E145" i="34"/>
  <c r="E146" i="34"/>
  <c r="E147" i="34"/>
  <c r="E148" i="34"/>
  <c r="E149" i="34"/>
  <c r="E150" i="34"/>
  <c r="E151" i="34"/>
  <c r="E152" i="34"/>
  <c r="E153" i="34"/>
  <c r="E154" i="34"/>
  <c r="E155" i="34"/>
  <c r="E156" i="34"/>
  <c r="E157" i="34"/>
  <c r="E158" i="34"/>
  <c r="E159" i="34"/>
  <c r="E160" i="34"/>
  <c r="E161" i="34"/>
  <c r="E162" i="34"/>
  <c r="F141" i="34"/>
  <c r="F142" i="34"/>
  <c r="F143" i="34"/>
  <c r="F144" i="34"/>
  <c r="F145" i="34"/>
  <c r="F146" i="34"/>
  <c r="F147" i="34"/>
  <c r="F148" i="34"/>
  <c r="F149" i="34"/>
  <c r="F150" i="34"/>
  <c r="F151" i="34"/>
  <c r="F152" i="34"/>
  <c r="F153" i="34"/>
  <c r="F154" i="34"/>
  <c r="F155" i="34"/>
  <c r="F156" i="34"/>
  <c r="F157" i="34"/>
  <c r="F158" i="34"/>
  <c r="F159" i="34"/>
  <c r="F160" i="34"/>
  <c r="F161" i="34"/>
  <c r="F162" i="34"/>
  <c r="G141" i="34"/>
  <c r="G142" i="34"/>
  <c r="G143" i="34"/>
  <c r="G144" i="34"/>
  <c r="G145" i="34"/>
  <c r="G146" i="34"/>
  <c r="G147" i="34"/>
  <c r="G148" i="34"/>
  <c r="G149" i="34"/>
  <c r="G150" i="34"/>
  <c r="G151" i="34"/>
  <c r="G152" i="34"/>
  <c r="G153" i="34"/>
  <c r="G154" i="34"/>
  <c r="G155" i="34"/>
  <c r="G156" i="34"/>
  <c r="G157" i="34"/>
  <c r="G158" i="34"/>
  <c r="G159" i="34"/>
  <c r="G160" i="34"/>
  <c r="G161" i="34"/>
  <c r="G162" i="34"/>
  <c r="L141" i="34"/>
  <c r="L142" i="34"/>
  <c r="L143" i="34"/>
  <c r="L144" i="34"/>
  <c r="L145" i="34"/>
  <c r="L146" i="34"/>
  <c r="L147" i="34"/>
  <c r="L148" i="34"/>
  <c r="L149" i="34"/>
  <c r="L150" i="34"/>
  <c r="L151" i="34"/>
  <c r="L152" i="34"/>
  <c r="L153" i="34"/>
  <c r="L154" i="34"/>
  <c r="L155" i="34"/>
  <c r="L156" i="34"/>
  <c r="L157" i="34"/>
  <c r="L158" i="34"/>
  <c r="L159" i="34"/>
  <c r="L160" i="34"/>
  <c r="L161" i="34"/>
  <c r="L162" i="34"/>
  <c r="D140" i="34"/>
  <c r="E140" i="34"/>
  <c r="F140" i="34"/>
  <c r="G140" i="34"/>
  <c r="L140" i="34"/>
  <c r="B52" i="29"/>
  <c r="B4" i="29" s="1"/>
  <c r="A57" i="29"/>
  <c r="A54" i="29"/>
  <c r="B117" i="29"/>
  <c r="B50" i="29"/>
  <c r="B32" i="35"/>
  <c r="B33" i="35"/>
  <c r="B34" i="35"/>
  <c r="B35" i="35"/>
  <c r="B36" i="35"/>
  <c r="B37" i="35"/>
  <c r="B38" i="35"/>
  <c r="B39" i="35"/>
  <c r="B40" i="35"/>
  <c r="B41" i="35"/>
  <c r="B42" i="35"/>
  <c r="B43" i="35"/>
  <c r="B44" i="35"/>
  <c r="B45" i="35"/>
  <c r="B46" i="35"/>
  <c r="B47" i="35"/>
  <c r="B48" i="35"/>
  <c r="B49" i="35"/>
  <c r="B50" i="35"/>
  <c r="B51" i="35"/>
  <c r="B52" i="35"/>
  <c r="B53" i="35"/>
  <c r="B31" i="35"/>
  <c r="I16" i="32"/>
  <c r="J16" i="32" s="1"/>
  <c r="AC11" i="33" s="1"/>
  <c r="I15" i="32"/>
  <c r="J15" i="32" s="1"/>
  <c r="AC10" i="33" s="1"/>
  <c r="I14" i="32"/>
  <c r="J14" i="32" s="1"/>
  <c r="AC9" i="33" s="1"/>
  <c r="I13" i="32"/>
  <c r="J13" i="32" s="1"/>
  <c r="AC8" i="33" s="1"/>
  <c r="I12" i="32"/>
  <c r="J12" i="32" s="1"/>
  <c r="AC7" i="33" s="1"/>
  <c r="I11" i="32"/>
  <c r="J11" i="32" s="1"/>
  <c r="AC6" i="33" s="1"/>
  <c r="B56" i="29"/>
  <c r="B54" i="29"/>
  <c r="B48" i="29"/>
  <c r="D48" i="29"/>
  <c r="L48" i="29"/>
  <c r="AE8" i="33" l="1"/>
  <c r="AE7" i="33"/>
  <c r="AE10" i="33"/>
  <c r="AE6" i="33"/>
  <c r="AE5" i="33"/>
  <c r="AE9" i="33"/>
  <c r="AE11" i="33"/>
  <c r="H16" i="32"/>
  <c r="P55" i="29"/>
  <c r="M10" i="32"/>
  <c r="C25" i="31" s="1"/>
  <c r="B57" i="29" s="1"/>
  <c r="P124" i="29"/>
  <c r="A73" i="32" s="1"/>
  <c r="J39" i="31"/>
  <c r="P81" i="29" s="1"/>
  <c r="B36" i="32" l="1"/>
  <c r="AB11" i="33"/>
  <c r="AD11" i="33" s="1"/>
  <c r="AK5" i="33"/>
  <c r="L2" i="34"/>
  <c r="L3" i="34"/>
  <c r="L4" i="34"/>
  <c r="L5" i="34"/>
  <c r="L6" i="34"/>
  <c r="L7" i="34"/>
  <c r="L8" i="34"/>
  <c r="L9" i="34"/>
  <c r="L10" i="34"/>
  <c r="L11" i="34"/>
  <c r="L12" i="34"/>
  <c r="L13" i="34"/>
  <c r="L14" i="34"/>
  <c r="L15" i="34"/>
  <c r="L16" i="34"/>
  <c r="L17" i="34"/>
  <c r="L18" i="34"/>
  <c r="L19" i="34"/>
  <c r="L20" i="34"/>
  <c r="L21" i="34"/>
  <c r="L22" i="34"/>
  <c r="L23" i="34"/>
  <c r="L24" i="34"/>
  <c r="L25" i="34"/>
  <c r="L26" i="34"/>
  <c r="L27" i="34"/>
  <c r="L28" i="34"/>
  <c r="L29" i="34"/>
  <c r="L30" i="34"/>
  <c r="L31" i="34"/>
  <c r="L32" i="34"/>
  <c r="L33" i="34"/>
  <c r="L34" i="34"/>
  <c r="L35" i="34"/>
  <c r="L36" i="34"/>
  <c r="L37" i="34"/>
  <c r="L38" i="34"/>
  <c r="L39" i="34"/>
  <c r="L40" i="34"/>
  <c r="L41" i="34"/>
  <c r="L42" i="34"/>
  <c r="L43" i="34"/>
  <c r="L44" i="34"/>
  <c r="L45" i="34"/>
  <c r="L46" i="34"/>
  <c r="L47" i="34"/>
  <c r="L48" i="34"/>
  <c r="L49" i="34"/>
  <c r="L50" i="34"/>
  <c r="L51" i="34"/>
  <c r="L52" i="34"/>
  <c r="L53" i="34"/>
  <c r="L54" i="34"/>
  <c r="L55" i="34"/>
  <c r="L56" i="34"/>
  <c r="L57" i="34"/>
  <c r="L58" i="34"/>
  <c r="L59" i="34"/>
  <c r="L60" i="34"/>
  <c r="L61" i="34"/>
  <c r="L62" i="34"/>
  <c r="L63" i="34"/>
  <c r="L64" i="34"/>
  <c r="L65" i="34"/>
  <c r="L66" i="34"/>
  <c r="L67" i="34"/>
  <c r="L68" i="34"/>
  <c r="L69" i="34"/>
  <c r="L70" i="34"/>
  <c r="L94" i="34"/>
  <c r="L95" i="34"/>
  <c r="L96" i="34"/>
  <c r="L97" i="34"/>
  <c r="L98" i="34"/>
  <c r="L99" i="34"/>
  <c r="L100" i="34"/>
  <c r="L101" i="34"/>
  <c r="L102" i="34"/>
  <c r="L103" i="34"/>
  <c r="L104" i="34"/>
  <c r="L105" i="34"/>
  <c r="L106" i="34"/>
  <c r="L107" i="34"/>
  <c r="L108" i="34"/>
  <c r="L109" i="34"/>
  <c r="L110" i="34"/>
  <c r="L111" i="34"/>
  <c r="L112" i="34"/>
  <c r="L113" i="34"/>
  <c r="L114" i="34"/>
  <c r="L115" i="34"/>
  <c r="L116" i="34"/>
  <c r="L117" i="34"/>
  <c r="L118" i="34"/>
  <c r="L119" i="34"/>
  <c r="L120" i="34"/>
  <c r="L121" i="34"/>
  <c r="L122" i="34"/>
  <c r="L123" i="34"/>
  <c r="L124" i="34"/>
  <c r="L125" i="34"/>
  <c r="L126" i="34"/>
  <c r="L127" i="34"/>
  <c r="L128" i="34"/>
  <c r="L129" i="34"/>
  <c r="L130" i="34"/>
  <c r="L131" i="34"/>
  <c r="L132" i="34"/>
  <c r="L133" i="34"/>
  <c r="L134" i="34"/>
  <c r="L135" i="34"/>
  <c r="L136" i="34"/>
  <c r="L137" i="34"/>
  <c r="L138" i="34"/>
  <c r="L139" i="34"/>
  <c r="L71" i="34"/>
  <c r="L72" i="34"/>
  <c r="L73" i="34"/>
  <c r="L74" i="34"/>
  <c r="L75" i="34"/>
  <c r="L76" i="34"/>
  <c r="L77" i="34"/>
  <c r="L78" i="34"/>
  <c r="L79" i="34"/>
  <c r="L80" i="34"/>
  <c r="L81" i="34"/>
  <c r="L82" i="34"/>
  <c r="L83" i="34"/>
  <c r="L84" i="34"/>
  <c r="L85" i="34"/>
  <c r="L86" i="34"/>
  <c r="L87" i="34"/>
  <c r="L88" i="34"/>
  <c r="L89" i="34"/>
  <c r="L90" i="34"/>
  <c r="L91" i="34"/>
  <c r="L92" i="34"/>
  <c r="L93" i="34"/>
  <c r="J124" i="31" l="1"/>
  <c r="BD11" i="33"/>
  <c r="AH11" i="33"/>
  <c r="AJ11" i="33" s="1"/>
  <c r="F124" i="31" s="1"/>
  <c r="C124" i="29"/>
  <c r="B124" i="29"/>
  <c r="G83" i="31"/>
  <c r="I83" i="31" s="1"/>
  <c r="I126" i="29" s="1"/>
  <c r="K83" i="31"/>
  <c r="K126" i="29" s="1"/>
  <c r="M83" i="31"/>
  <c r="M126" i="29" s="1"/>
  <c r="O83" i="31"/>
  <c r="E126" i="29"/>
  <c r="F126" i="29"/>
  <c r="H126" i="29"/>
  <c r="J126" i="29"/>
  <c r="L126" i="29"/>
  <c r="N126" i="29"/>
  <c r="B119" i="29"/>
  <c r="D126" i="29"/>
  <c r="N82" i="31"/>
  <c r="L82" i="31"/>
  <c r="J82" i="31"/>
  <c r="H82" i="31"/>
  <c r="F39" i="31" s="1"/>
  <c r="H81" i="29" s="1"/>
  <c r="F82" i="31"/>
  <c r="E39" i="31" s="1"/>
  <c r="D82" i="31"/>
  <c r="G2" i="34"/>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5" i="34"/>
  <c r="G126" i="34"/>
  <c r="G127" i="34"/>
  <c r="G128" i="34"/>
  <c r="G129" i="34"/>
  <c r="G130" i="34"/>
  <c r="G131" i="34"/>
  <c r="G132" i="34"/>
  <c r="G133" i="34"/>
  <c r="G134" i="34"/>
  <c r="G135" i="34"/>
  <c r="G136" i="34"/>
  <c r="G137" i="34"/>
  <c r="G138" i="34"/>
  <c r="G139" i="34"/>
  <c r="G71" i="34"/>
  <c r="G72" i="34"/>
  <c r="G73" i="34"/>
  <c r="G74" i="34"/>
  <c r="G75" i="34"/>
  <c r="G76" i="34"/>
  <c r="G77" i="34"/>
  <c r="G78" i="34"/>
  <c r="G79" i="34"/>
  <c r="G80" i="34"/>
  <c r="G81" i="34"/>
  <c r="G82" i="34"/>
  <c r="G83" i="34"/>
  <c r="G84" i="34"/>
  <c r="G85" i="34"/>
  <c r="G86" i="34"/>
  <c r="G87" i="34"/>
  <c r="G88" i="34"/>
  <c r="G89" i="34"/>
  <c r="G90" i="34"/>
  <c r="G91" i="34"/>
  <c r="G92" i="34"/>
  <c r="G93" i="34"/>
  <c r="F2" i="34"/>
  <c r="F3" i="34"/>
  <c r="F4" i="34"/>
  <c r="F5" i="34"/>
  <c r="F6" i="34"/>
  <c r="F7" i="34"/>
  <c r="F8" i="34"/>
  <c r="F9" i="34"/>
  <c r="F10" i="34"/>
  <c r="F11" i="34"/>
  <c r="F12" i="34"/>
  <c r="F13" i="34"/>
  <c r="F14" i="34"/>
  <c r="F15" i="34"/>
  <c r="F16" i="34"/>
  <c r="F17" i="34"/>
  <c r="F18" i="34"/>
  <c r="F19" i="34"/>
  <c r="F20" i="34"/>
  <c r="F21" i="34"/>
  <c r="F22" i="34"/>
  <c r="F23" i="34"/>
  <c r="F24" i="34"/>
  <c r="F25" i="34"/>
  <c r="F26" i="34"/>
  <c r="F27" i="34"/>
  <c r="F28"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94" i="34"/>
  <c r="F95" i="34"/>
  <c r="F96" i="34"/>
  <c r="F97" i="34"/>
  <c r="F98" i="34"/>
  <c r="F99" i="34"/>
  <c r="F100" i="34"/>
  <c r="F101" i="34"/>
  <c r="F102" i="34"/>
  <c r="F103" i="34"/>
  <c r="F104" i="34"/>
  <c r="F105" i="34"/>
  <c r="F106" i="34"/>
  <c r="F107" i="34"/>
  <c r="F108" i="34"/>
  <c r="F109" i="34"/>
  <c r="F110" i="34"/>
  <c r="F111" i="34"/>
  <c r="F112" i="34"/>
  <c r="F113" i="34"/>
  <c r="F114" i="34"/>
  <c r="F115" i="34"/>
  <c r="F116" i="34"/>
  <c r="F117" i="34"/>
  <c r="F118" i="34"/>
  <c r="F119" i="34"/>
  <c r="F120" i="34"/>
  <c r="F121" i="34"/>
  <c r="F122" i="34"/>
  <c r="F123" i="34"/>
  <c r="F124" i="34"/>
  <c r="F125" i="34"/>
  <c r="F126" i="34"/>
  <c r="F127" i="34"/>
  <c r="F128" i="34"/>
  <c r="F129" i="34"/>
  <c r="F130" i="34"/>
  <c r="F131" i="34"/>
  <c r="F132" i="34"/>
  <c r="F133" i="34"/>
  <c r="F134" i="34"/>
  <c r="F135" i="34"/>
  <c r="F136" i="34"/>
  <c r="F137" i="34"/>
  <c r="F138" i="34"/>
  <c r="F139" i="34"/>
  <c r="F71" i="34"/>
  <c r="F72" i="34"/>
  <c r="F73" i="34"/>
  <c r="F74" i="34"/>
  <c r="F75" i="34"/>
  <c r="F76" i="34"/>
  <c r="F77" i="34"/>
  <c r="F78" i="34"/>
  <c r="F79" i="34"/>
  <c r="F80" i="34"/>
  <c r="F81" i="34"/>
  <c r="F82" i="34"/>
  <c r="F83" i="34"/>
  <c r="F84" i="34"/>
  <c r="F85" i="34"/>
  <c r="F86" i="34"/>
  <c r="F87" i="34"/>
  <c r="F88" i="34"/>
  <c r="F89" i="34"/>
  <c r="F90" i="34"/>
  <c r="F91" i="34"/>
  <c r="F92" i="34"/>
  <c r="F93" i="34"/>
  <c r="B26" i="32"/>
  <c r="B9" i="32"/>
  <c r="E2" i="34"/>
  <c r="E3" i="34"/>
  <c r="E4" i="34"/>
  <c r="E5" i="34"/>
  <c r="E6" i="34"/>
  <c r="E7" i="34"/>
  <c r="E8" i="34"/>
  <c r="E9" i="34"/>
  <c r="E10" i="34"/>
  <c r="E11" i="34"/>
  <c r="E12" i="34"/>
  <c r="E13" i="34"/>
  <c r="E14" i="34"/>
  <c r="E15" i="34"/>
  <c r="E16" i="34"/>
  <c r="E17" i="34"/>
  <c r="E18" i="34"/>
  <c r="E19" i="34"/>
  <c r="E20" i="34"/>
  <c r="E21" i="34"/>
  <c r="E22" i="34"/>
  <c r="E23" i="34"/>
  <c r="E24" i="34"/>
  <c r="E25" i="34"/>
  <c r="E26" i="34"/>
  <c r="E27" i="34"/>
  <c r="E28" i="34"/>
  <c r="E29" i="34"/>
  <c r="E30" i="34"/>
  <c r="E31" i="34"/>
  <c r="E32" i="34"/>
  <c r="E33" i="34"/>
  <c r="E34" i="34"/>
  <c r="E35" i="34"/>
  <c r="E36" i="34"/>
  <c r="E37" i="34"/>
  <c r="E38" i="34"/>
  <c r="E39" i="34"/>
  <c r="E40" i="34"/>
  <c r="E41" i="34"/>
  <c r="E42" i="34"/>
  <c r="E43" i="34"/>
  <c r="E44" i="34"/>
  <c r="E45" i="34"/>
  <c r="E46" i="34"/>
  <c r="E47" i="34"/>
  <c r="E48" i="34"/>
  <c r="E49" i="34"/>
  <c r="E50" i="34"/>
  <c r="E51" i="34"/>
  <c r="E52" i="34"/>
  <c r="E53" i="34"/>
  <c r="E54" i="34"/>
  <c r="E55" i="34"/>
  <c r="E56" i="34"/>
  <c r="E57" i="34"/>
  <c r="E58" i="34"/>
  <c r="E59" i="34"/>
  <c r="E60" i="34"/>
  <c r="E61" i="34"/>
  <c r="E62" i="34"/>
  <c r="E63" i="34"/>
  <c r="E64" i="34"/>
  <c r="E65" i="34"/>
  <c r="E66" i="34"/>
  <c r="E67" i="34"/>
  <c r="E68" i="34"/>
  <c r="E69" i="34"/>
  <c r="E70" i="34"/>
  <c r="E94" i="34"/>
  <c r="E95" i="34"/>
  <c r="E96" i="34"/>
  <c r="E97" i="34"/>
  <c r="E98" i="34"/>
  <c r="E99" i="34"/>
  <c r="E100" i="34"/>
  <c r="E101" i="34"/>
  <c r="E102" i="34"/>
  <c r="E103" i="34"/>
  <c r="E104" i="34"/>
  <c r="E105" i="34"/>
  <c r="E106" i="34"/>
  <c r="E107" i="34"/>
  <c r="E108" i="34"/>
  <c r="E109" i="34"/>
  <c r="E110" i="34"/>
  <c r="E111" i="34"/>
  <c r="E112" i="34"/>
  <c r="E113" i="34"/>
  <c r="E114" i="34"/>
  <c r="E115" i="34"/>
  <c r="E116" i="34"/>
  <c r="E117" i="34"/>
  <c r="E118" i="34"/>
  <c r="E119" i="34"/>
  <c r="E120" i="34"/>
  <c r="E121" i="34"/>
  <c r="E122" i="34"/>
  <c r="E123" i="34"/>
  <c r="E124" i="34"/>
  <c r="E125" i="34"/>
  <c r="E126" i="34"/>
  <c r="E127" i="34"/>
  <c r="E128" i="34"/>
  <c r="E129" i="34"/>
  <c r="E130" i="34"/>
  <c r="E131" i="34"/>
  <c r="E132" i="34"/>
  <c r="E133" i="34"/>
  <c r="E134" i="34"/>
  <c r="E135" i="34"/>
  <c r="E136" i="34"/>
  <c r="E137" i="34"/>
  <c r="E138" i="34"/>
  <c r="E139" i="34"/>
  <c r="E71" i="34"/>
  <c r="E72" i="34"/>
  <c r="E73" i="34"/>
  <c r="E74" i="34"/>
  <c r="E75" i="34"/>
  <c r="E76" i="34"/>
  <c r="E77" i="34"/>
  <c r="E78" i="34"/>
  <c r="E79" i="34"/>
  <c r="E80" i="34"/>
  <c r="E81" i="34"/>
  <c r="E82" i="34"/>
  <c r="E83" i="34"/>
  <c r="E84" i="34"/>
  <c r="E85" i="34"/>
  <c r="E86" i="34"/>
  <c r="E87" i="34"/>
  <c r="E88" i="34"/>
  <c r="E89" i="34"/>
  <c r="E90" i="34"/>
  <c r="E91" i="34"/>
  <c r="E92" i="34"/>
  <c r="E93" i="34"/>
  <c r="D2" i="34"/>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D134" i="34"/>
  <c r="D135" i="34"/>
  <c r="D136" i="34"/>
  <c r="D137" i="34"/>
  <c r="D138" i="34"/>
  <c r="D139" i="34"/>
  <c r="D71" i="34"/>
  <c r="D72" i="34"/>
  <c r="D73" i="34"/>
  <c r="D74" i="34"/>
  <c r="D75" i="34"/>
  <c r="D76" i="34"/>
  <c r="D77" i="34"/>
  <c r="D78" i="34"/>
  <c r="D79" i="34"/>
  <c r="D80" i="34"/>
  <c r="D81" i="34"/>
  <c r="D82" i="34"/>
  <c r="D83" i="34"/>
  <c r="D84" i="34"/>
  <c r="D85" i="34"/>
  <c r="D86" i="34"/>
  <c r="D87" i="34"/>
  <c r="D88" i="34"/>
  <c r="D89" i="34"/>
  <c r="D90" i="34"/>
  <c r="D91" i="34"/>
  <c r="D92" i="34"/>
  <c r="D93" i="34"/>
  <c r="B13" i="30"/>
  <c r="B7" i="30"/>
  <c r="B19" i="32"/>
  <c r="B20" i="32"/>
  <c r="B21" i="32"/>
  <c r="B41" i="29"/>
  <c r="B42" i="29"/>
  <c r="B24" i="32"/>
  <c r="B44" i="29"/>
  <c r="B37" i="29"/>
  <c r="C23" i="29"/>
  <c r="B10" i="32"/>
  <c r="B11" i="32"/>
  <c r="B12" i="32"/>
  <c r="B13" i="32"/>
  <c r="C29" i="29"/>
  <c r="C30" i="29"/>
  <c r="B16" i="32"/>
  <c r="C32" i="29"/>
  <c r="C33" i="29"/>
  <c r="H21" i="32" s="1"/>
  <c r="K21" i="32" s="1"/>
  <c r="C22" i="29"/>
  <c r="B5" i="32"/>
  <c r="B6" i="32"/>
  <c r="B4" i="32"/>
  <c r="AS5" i="33" s="1"/>
  <c r="D20" i="32"/>
  <c r="D21" i="32"/>
  <c r="D22" i="32"/>
  <c r="D23" i="32"/>
  <c r="D24" i="32"/>
  <c r="D25" i="32"/>
  <c r="D26" i="32"/>
  <c r="C26" i="32"/>
  <c r="C25" i="32"/>
  <c r="C20" i="32"/>
  <c r="C21" i="32"/>
  <c r="C22" i="32"/>
  <c r="C23" i="32"/>
  <c r="C24" i="32"/>
  <c r="D19" i="32"/>
  <c r="D18" i="32"/>
  <c r="C19" i="32"/>
  <c r="C18" i="32"/>
  <c r="H5" i="32"/>
  <c r="D8" i="32"/>
  <c r="D9" i="32"/>
  <c r="D10" i="32"/>
  <c r="D11" i="32"/>
  <c r="D12" i="32"/>
  <c r="D13" i="32"/>
  <c r="D14" i="32"/>
  <c r="D15" i="32"/>
  <c r="D16" i="32"/>
  <c r="D17" i="32"/>
  <c r="D7" i="32"/>
  <c r="C17" i="32"/>
  <c r="C16" i="32"/>
  <c r="C15" i="32"/>
  <c r="C14" i="32"/>
  <c r="C13" i="32"/>
  <c r="C12" i="32"/>
  <c r="C11" i="32"/>
  <c r="C10" i="32"/>
  <c r="C9" i="32"/>
  <c r="C8" i="32"/>
  <c r="C7" i="32"/>
  <c r="H4" i="32"/>
  <c r="D5" i="32"/>
  <c r="D6" i="32"/>
  <c r="D4" i="32"/>
  <c r="C6" i="32"/>
  <c r="C5" i="32"/>
  <c r="C4" i="32"/>
  <c r="H3" i="32"/>
  <c r="D6" i="33"/>
  <c r="C6" i="33" s="1"/>
  <c r="C4" i="30" s="1"/>
  <c r="D5" i="33"/>
  <c r="C5" i="33" s="1"/>
  <c r="C3" i="30" s="1"/>
  <c r="D4" i="33"/>
  <c r="C4" i="33" s="1"/>
  <c r="B115" i="30"/>
  <c r="B4" i="30"/>
  <c r="B3" i="30"/>
  <c r="B2" i="30"/>
  <c r="D8" i="33"/>
  <c r="E8" i="33" s="1"/>
  <c r="B8" i="33" s="1"/>
  <c r="B6" i="30" s="1"/>
  <c r="B116" i="29"/>
  <c r="B118" i="29"/>
  <c r="B47" i="29"/>
  <c r="I4" i="29"/>
  <c r="B106" i="29"/>
  <c r="B5" i="29" s="1"/>
  <c r="B10" i="29"/>
  <c r="B3" i="29" s="1"/>
  <c r="B12" i="29"/>
  <c r="A35" i="29"/>
  <c r="F36" i="29"/>
  <c r="G36" i="29"/>
  <c r="B35" i="29"/>
  <c r="G21" i="29"/>
  <c r="F15" i="29"/>
  <c r="A20" i="29"/>
  <c r="B20" i="29"/>
  <c r="A14" i="29"/>
  <c r="G15" i="29"/>
  <c r="B14" i="29"/>
  <c r="H7" i="33" l="1"/>
  <c r="AS7" i="33"/>
  <c r="O11" i="33"/>
  <c r="AS14" i="33"/>
  <c r="H6" i="33"/>
  <c r="AS6" i="33"/>
  <c r="O10" i="33"/>
  <c r="AS13" i="33"/>
  <c r="O9" i="33"/>
  <c r="AS12" i="33"/>
  <c r="V6" i="33"/>
  <c r="AS20" i="33"/>
  <c r="V13" i="33"/>
  <c r="AS27" i="33"/>
  <c r="O14" i="33"/>
  <c r="AS17" i="33"/>
  <c r="V8" i="33"/>
  <c r="AS22" i="33"/>
  <c r="V7" i="33"/>
  <c r="AS21" i="33"/>
  <c r="O7" i="33"/>
  <c r="AS10" i="33"/>
  <c r="O8" i="33"/>
  <c r="AS11" i="33"/>
  <c r="V11" i="33"/>
  <c r="AS25" i="33"/>
  <c r="A4" i="32"/>
  <c r="A6" i="32"/>
  <c r="A5" i="32"/>
  <c r="A26" i="32"/>
  <c r="A19" i="32"/>
  <c r="A18" i="32"/>
  <c r="A20" i="32"/>
  <c r="A25" i="32"/>
  <c r="A21" i="32"/>
  <c r="A22" i="32"/>
  <c r="A23" i="32"/>
  <c r="A24" i="32"/>
  <c r="A14" i="32"/>
  <c r="A15" i="32"/>
  <c r="A8" i="32"/>
  <c r="A16" i="32"/>
  <c r="A9" i="32"/>
  <c r="A17" i="32"/>
  <c r="A10" i="32"/>
  <c r="A7" i="32"/>
  <c r="A11" i="32"/>
  <c r="A12" i="32"/>
  <c r="A13" i="32"/>
  <c r="H5" i="33"/>
  <c r="J55" i="29"/>
  <c r="H13" i="32" s="1"/>
  <c r="G39" i="31"/>
  <c r="J81" i="29" s="1"/>
  <c r="N55" i="29"/>
  <c r="H15" i="32" s="1"/>
  <c r="I39" i="31"/>
  <c r="N81" i="29" s="1"/>
  <c r="D55" i="29"/>
  <c r="H10" i="32" s="1"/>
  <c r="D39" i="31"/>
  <c r="D81" i="29" s="1"/>
  <c r="L55" i="29"/>
  <c r="H14" i="32" s="1"/>
  <c r="H39" i="31"/>
  <c r="L81" i="29" s="1"/>
  <c r="F55" i="29"/>
  <c r="F81" i="29"/>
  <c r="O126" i="29"/>
  <c r="Q83" i="31"/>
  <c r="Q126" i="29" s="1"/>
  <c r="N124" i="29"/>
  <c r="A72" i="32" s="1"/>
  <c r="H124" i="29"/>
  <c r="A69" i="32" s="1"/>
  <c r="J69" i="32" s="1"/>
  <c r="H55" i="29"/>
  <c r="H12" i="32" s="1"/>
  <c r="D124" i="29"/>
  <c r="A67" i="32" s="1"/>
  <c r="L124" i="29"/>
  <c r="A71" i="32" s="1"/>
  <c r="J71" i="32" s="1"/>
  <c r="F124" i="29"/>
  <c r="A68" i="32" s="1"/>
  <c r="J68" i="32" s="1"/>
  <c r="J124" i="29"/>
  <c r="A70" i="32" s="1"/>
  <c r="E15" i="32"/>
  <c r="G126" i="29"/>
  <c r="E21" i="32"/>
  <c r="E25" i="32"/>
  <c r="E24" i="32"/>
  <c r="E23" i="32"/>
  <c r="E12" i="32"/>
  <c r="E22" i="32"/>
  <c r="E20" i="32"/>
  <c r="E26" i="32"/>
  <c r="E6" i="32"/>
  <c r="E11" i="32"/>
  <c r="E19" i="32"/>
  <c r="E5" i="32"/>
  <c r="B15" i="32"/>
  <c r="B16" i="29"/>
  <c r="B38" i="29"/>
  <c r="C31" i="29"/>
  <c r="B39" i="29"/>
  <c r="C25" i="29"/>
  <c r="O16" i="33"/>
  <c r="Q16" i="33" s="1"/>
  <c r="B8" i="32"/>
  <c r="B25" i="32"/>
  <c r="B22" i="32"/>
  <c r="E13" i="32"/>
  <c r="B18" i="29"/>
  <c r="B23" i="32"/>
  <c r="C28" i="29"/>
  <c r="B7" i="32"/>
  <c r="B17" i="32"/>
  <c r="B40" i="29"/>
  <c r="C24" i="29"/>
  <c r="B43" i="29"/>
  <c r="B17" i="29"/>
  <c r="C27" i="29"/>
  <c r="C26" i="29"/>
  <c r="B45" i="29"/>
  <c r="B18" i="32"/>
  <c r="B14" i="32"/>
  <c r="E18" i="32"/>
  <c r="E8" i="32"/>
  <c r="E16" i="32"/>
  <c r="E14" i="32"/>
  <c r="E7" i="32"/>
  <c r="E17" i="32"/>
  <c r="E10" i="32"/>
  <c r="E4" i="32"/>
  <c r="E9" i="32"/>
  <c r="V10" i="33" l="1"/>
  <c r="AS24" i="33"/>
  <c r="O12" i="33"/>
  <c r="AS15" i="33"/>
  <c r="V12" i="33"/>
  <c r="AS26" i="33"/>
  <c r="O13" i="33"/>
  <c r="AS16" i="33"/>
  <c r="O5" i="33"/>
  <c r="AS8" i="33"/>
  <c r="V5" i="33"/>
  <c r="AS19" i="33"/>
  <c r="O15" i="33"/>
  <c r="AS18" i="33"/>
  <c r="O6" i="33"/>
  <c r="AS9" i="33"/>
  <c r="V9" i="33"/>
  <c r="AS23" i="33"/>
  <c r="P13" i="33"/>
  <c r="B34" i="32"/>
  <c r="AB9" i="33"/>
  <c r="AD9" i="33" s="1"/>
  <c r="B32" i="32"/>
  <c r="AB7" i="33"/>
  <c r="AD7" i="33" s="1"/>
  <c r="B30" i="32"/>
  <c r="AB5" i="33"/>
  <c r="AD5" i="33" s="1"/>
  <c r="B35" i="32"/>
  <c r="AB10" i="33"/>
  <c r="AD10" i="33" s="1"/>
  <c r="B33" i="32"/>
  <c r="AB8" i="33"/>
  <c r="AD8" i="33" s="1"/>
  <c r="B40" i="31" a="1"/>
  <c r="B40" i="31" s="1"/>
  <c r="B84" i="31" a="1"/>
  <c r="B84" i="31" s="1"/>
  <c r="H11" i="32"/>
  <c r="W12" i="33"/>
  <c r="W11" i="33"/>
  <c r="X11" i="33" s="1"/>
  <c r="W10" i="33"/>
  <c r="X10" i="33" s="1"/>
  <c r="W8" i="33"/>
  <c r="X8" i="33" s="1"/>
  <c r="I7" i="33"/>
  <c r="P6" i="33"/>
  <c r="Q6" i="33" s="1"/>
  <c r="I6" i="33"/>
  <c r="J6" i="33" s="1"/>
  <c r="P10" i="33"/>
  <c r="Q10" i="33" s="1"/>
  <c r="P11" i="33"/>
  <c r="Q11" i="33" s="1"/>
  <c r="W6" i="33"/>
  <c r="R16" i="33"/>
  <c r="P14" i="33"/>
  <c r="P7" i="33"/>
  <c r="Q7" i="33" s="1"/>
  <c r="W13" i="33"/>
  <c r="W9" i="33"/>
  <c r="P15" i="33"/>
  <c r="Q15" i="33" s="1"/>
  <c r="P9" i="33"/>
  <c r="Q9" i="33" s="1"/>
  <c r="W7" i="33"/>
  <c r="P12" i="33"/>
  <c r="Q12" i="33" s="1"/>
  <c r="P8" i="33"/>
  <c r="Q8" i="33" s="1"/>
  <c r="W5" i="33"/>
  <c r="X5" i="33" s="1"/>
  <c r="K5" i="32"/>
  <c r="K4" i="32"/>
  <c r="P5" i="33"/>
  <c r="I5" i="33"/>
  <c r="K3" i="32"/>
  <c r="I6" i="29"/>
  <c r="K2" i="29"/>
  <c r="J7" i="33" l="1"/>
  <c r="K7" i="33"/>
  <c r="Q13" i="33"/>
  <c r="J120" i="31"/>
  <c r="BD7" i="33"/>
  <c r="J121" i="31"/>
  <c r="BD8" i="33"/>
  <c r="J122" i="31"/>
  <c r="BD9" i="33"/>
  <c r="J123" i="31"/>
  <c r="BD10" i="33"/>
  <c r="J118" i="31"/>
  <c r="BD5" i="33"/>
  <c r="AH10" i="33"/>
  <c r="AJ10" i="33" s="1"/>
  <c r="F123" i="31" s="1"/>
  <c r="AH7" i="33"/>
  <c r="AJ7" i="33" s="1"/>
  <c r="F120" i="31" s="1"/>
  <c r="AH8" i="33"/>
  <c r="AJ8" i="33" s="1"/>
  <c r="F121" i="31" s="1"/>
  <c r="AH9" i="33"/>
  <c r="AJ9" i="33" s="1"/>
  <c r="F122" i="31" s="1"/>
  <c r="AH5" i="33"/>
  <c r="B31" i="32"/>
  <c r="AB6" i="33"/>
  <c r="AD6" i="33" s="1"/>
  <c r="AD4" i="33" s="1"/>
  <c r="Y6" i="33"/>
  <c r="X12" i="33"/>
  <c r="Y12" i="33"/>
  <c r="B97" i="29"/>
  <c r="R15" i="33"/>
  <c r="K6" i="33"/>
  <c r="R14" i="33"/>
  <c r="R13" i="33"/>
  <c r="R12" i="33"/>
  <c r="R6" i="33"/>
  <c r="R7" i="33"/>
  <c r="R8" i="33"/>
  <c r="R10" i="33"/>
  <c r="Q14" i="33"/>
  <c r="R11" i="33"/>
  <c r="D11" i="33"/>
  <c r="R9" i="33"/>
  <c r="X6" i="33"/>
  <c r="Y8" i="33"/>
  <c r="Y9" i="33"/>
  <c r="X9" i="33"/>
  <c r="X7" i="33"/>
  <c r="Y7" i="33"/>
  <c r="Y10" i="33"/>
  <c r="Y13" i="33"/>
  <c r="Y11" i="33"/>
  <c r="X13" i="33"/>
  <c r="Y5" i="33"/>
  <c r="Q5" i="33"/>
  <c r="R5" i="33"/>
  <c r="J5" i="33"/>
  <c r="K5" i="33"/>
  <c r="K4" i="33" l="1"/>
  <c r="D15" i="33" s="1"/>
  <c r="E11" i="33"/>
  <c r="B11" i="33" s="1"/>
  <c r="B8" i="30" s="1"/>
  <c r="J119" i="31"/>
  <c r="H124" i="31" s="1"/>
  <c r="D124" i="31" s="1"/>
  <c r="BD6" i="33"/>
  <c r="H122" i="31"/>
  <c r="D122" i="31" s="1"/>
  <c r="H121" i="31"/>
  <c r="D121" i="31" s="1"/>
  <c r="H123" i="31"/>
  <c r="D123" i="31" s="1"/>
  <c r="AE4" i="33"/>
  <c r="D21" i="33" s="1"/>
  <c r="AJ5" i="33"/>
  <c r="F118" i="31" s="1"/>
  <c r="AH6" i="33"/>
  <c r="AJ6" i="33" s="1"/>
  <c r="B87" i="29"/>
  <c r="C103" i="29"/>
  <c r="C86" i="29"/>
  <c r="B86" i="29"/>
  <c r="B88" i="29"/>
  <c r="C83" i="29"/>
  <c r="B85" i="29"/>
  <c r="C87" i="29"/>
  <c r="C96" i="29"/>
  <c r="B101" i="29"/>
  <c r="C100" i="29"/>
  <c r="B100" i="29"/>
  <c r="B96" i="29"/>
  <c r="B93" i="29"/>
  <c r="C88" i="29"/>
  <c r="C92" i="29"/>
  <c r="C91" i="29"/>
  <c r="C84" i="29"/>
  <c r="B92" i="29"/>
  <c r="B89" i="29"/>
  <c r="C102" i="29"/>
  <c r="C101" i="29"/>
  <c r="C97" i="29"/>
  <c r="C82" i="29"/>
  <c r="C98" i="29"/>
  <c r="B98" i="29"/>
  <c r="C93" i="29"/>
  <c r="B84" i="29"/>
  <c r="B103" i="29"/>
  <c r="B95" i="29"/>
  <c r="C94" i="29"/>
  <c r="B94" i="29"/>
  <c r="C89" i="29"/>
  <c r="B102" i="29"/>
  <c r="B99" i="29"/>
  <c r="B91" i="29"/>
  <c r="C90" i="29"/>
  <c r="B90" i="29"/>
  <c r="C85" i="29"/>
  <c r="C95" i="29"/>
  <c r="B82" i="29"/>
  <c r="B83" i="29"/>
  <c r="C104" i="29"/>
  <c r="B104" i="29"/>
  <c r="C99" i="29"/>
  <c r="P107" i="31"/>
  <c r="P105" i="31"/>
  <c r="P148" i="29" s="1"/>
  <c r="P106" i="31"/>
  <c r="P149" i="29" s="1"/>
  <c r="P85" i="31"/>
  <c r="P128" i="29" s="1"/>
  <c r="P93" i="31"/>
  <c r="P136" i="29" s="1"/>
  <c r="P101" i="31"/>
  <c r="P144" i="29" s="1"/>
  <c r="P92" i="31"/>
  <c r="P135" i="29" s="1"/>
  <c r="P100" i="31"/>
  <c r="P143" i="29" s="1"/>
  <c r="P86" i="31"/>
  <c r="P129" i="29" s="1"/>
  <c r="P94" i="31"/>
  <c r="P137" i="29" s="1"/>
  <c r="P102" i="31"/>
  <c r="P145" i="29" s="1"/>
  <c r="P98" i="31"/>
  <c r="P141" i="29" s="1"/>
  <c r="P87" i="31"/>
  <c r="P130" i="29" s="1"/>
  <c r="P95" i="31"/>
  <c r="P138" i="29" s="1"/>
  <c r="P103" i="31"/>
  <c r="P146" i="29" s="1"/>
  <c r="P90" i="31"/>
  <c r="P133" i="29" s="1"/>
  <c r="P88" i="31"/>
  <c r="P131" i="29" s="1"/>
  <c r="P96" i="31"/>
  <c r="P139" i="29" s="1"/>
  <c r="P104" i="31"/>
  <c r="P147" i="29" s="1"/>
  <c r="P89" i="31"/>
  <c r="P132" i="29" s="1"/>
  <c r="P97" i="31"/>
  <c r="P140" i="29" s="1"/>
  <c r="P84" i="31"/>
  <c r="P127" i="29" s="1"/>
  <c r="P91" i="31"/>
  <c r="P134" i="29" s="1"/>
  <c r="P99" i="31"/>
  <c r="P142" i="29" s="1"/>
  <c r="J93" i="31"/>
  <c r="J136" i="29" s="1"/>
  <c r="C131" i="29"/>
  <c r="A48" i="32" s="1"/>
  <c r="C135" i="29"/>
  <c r="A52" i="32" s="1"/>
  <c r="C139" i="29"/>
  <c r="A56" i="32" s="1"/>
  <c r="C143" i="29"/>
  <c r="A60" i="32" s="1"/>
  <c r="C147" i="29"/>
  <c r="A64" i="32" s="1"/>
  <c r="B135" i="29"/>
  <c r="B128" i="29"/>
  <c r="B132" i="29"/>
  <c r="B136" i="29"/>
  <c r="B140" i="29"/>
  <c r="B144" i="29"/>
  <c r="B148" i="29"/>
  <c r="B134" i="29"/>
  <c r="B146" i="29"/>
  <c r="B131" i="29"/>
  <c r="C128" i="29"/>
  <c r="A45" i="32" s="1"/>
  <c r="J45" i="32" s="1"/>
  <c r="C132" i="29"/>
  <c r="A49" i="32" s="1"/>
  <c r="J49" i="32" s="1"/>
  <c r="C136" i="29"/>
  <c r="A53" i="32" s="1"/>
  <c r="J53" i="32" s="1"/>
  <c r="C140" i="29"/>
  <c r="A57" i="32" s="1"/>
  <c r="C144" i="29"/>
  <c r="A61" i="32" s="1"/>
  <c r="C148" i="29"/>
  <c r="A65" i="32" s="1"/>
  <c r="B142" i="29"/>
  <c r="B139" i="29"/>
  <c r="B129" i="29"/>
  <c r="B133" i="29"/>
  <c r="B137" i="29"/>
  <c r="B141" i="29"/>
  <c r="B145" i="29"/>
  <c r="B149" i="29"/>
  <c r="B138" i="29"/>
  <c r="B143" i="29"/>
  <c r="C129" i="29"/>
  <c r="A46" i="32" s="1"/>
  <c r="J46" i="32" s="1"/>
  <c r="C133" i="29"/>
  <c r="A50" i="32" s="1"/>
  <c r="C137" i="29"/>
  <c r="A54" i="32" s="1"/>
  <c r="C141" i="29"/>
  <c r="A58" i="32" s="1"/>
  <c r="C145" i="29"/>
  <c r="A62" i="32" s="1"/>
  <c r="C149" i="29"/>
  <c r="A66" i="32" s="1"/>
  <c r="B130" i="29"/>
  <c r="C127" i="29"/>
  <c r="C130" i="29"/>
  <c r="A47" i="32" s="1"/>
  <c r="J47" i="32" s="1"/>
  <c r="C134" i="29"/>
  <c r="A51" i="32" s="1"/>
  <c r="C138" i="29"/>
  <c r="A55" i="32" s="1"/>
  <c r="C142" i="29"/>
  <c r="A59" i="32" s="1"/>
  <c r="C146" i="29"/>
  <c r="A63" i="32" s="1"/>
  <c r="B147" i="29"/>
  <c r="D90" i="31"/>
  <c r="D133" i="29" s="1"/>
  <c r="D105" i="31"/>
  <c r="D148" i="29" s="1"/>
  <c r="D86" i="31"/>
  <c r="D129" i="29" s="1"/>
  <c r="H106" i="31"/>
  <c r="H149" i="29" s="1"/>
  <c r="F88" i="31"/>
  <c r="F131" i="29" s="1"/>
  <c r="H105" i="31"/>
  <c r="H148" i="29" s="1"/>
  <c r="H96" i="31"/>
  <c r="H139" i="29" s="1"/>
  <c r="F84" i="31"/>
  <c r="F127" i="29" s="1"/>
  <c r="L103" i="31"/>
  <c r="L146" i="29" s="1"/>
  <c r="N84" i="31"/>
  <c r="N127" i="29" s="1"/>
  <c r="J86" i="31"/>
  <c r="J129" i="29" s="1"/>
  <c r="F91" i="31"/>
  <c r="F134" i="29" s="1"/>
  <c r="L94" i="31"/>
  <c r="L137" i="29" s="1"/>
  <c r="F97" i="31"/>
  <c r="F140" i="29" s="1"/>
  <c r="D97" i="31"/>
  <c r="D140" i="29" s="1"/>
  <c r="F100" i="31"/>
  <c r="F143" i="29" s="1"/>
  <c r="J84" i="31"/>
  <c r="J127" i="29" s="1"/>
  <c r="J89" i="31"/>
  <c r="J132" i="29" s="1"/>
  <c r="H89" i="31"/>
  <c r="H132" i="29" s="1"/>
  <c r="L95" i="31"/>
  <c r="L138" i="29" s="1"/>
  <c r="F101" i="31"/>
  <c r="F144" i="29" s="1"/>
  <c r="D84" i="31"/>
  <c r="D127" i="29" s="1"/>
  <c r="D89" i="31"/>
  <c r="D132" i="29" s="1"/>
  <c r="F92" i="31"/>
  <c r="F135" i="29" s="1"/>
  <c r="H92" i="31"/>
  <c r="H135" i="29" s="1"/>
  <c r="L105" i="31"/>
  <c r="L148" i="29" s="1"/>
  <c r="L96" i="31"/>
  <c r="L139" i="29" s="1"/>
  <c r="N103" i="31"/>
  <c r="N146" i="29" s="1"/>
  <c r="F93" i="31"/>
  <c r="F136" i="29" s="1"/>
  <c r="D100" i="31"/>
  <c r="D143" i="29" s="1"/>
  <c r="D104" i="31"/>
  <c r="D147" i="29" s="1"/>
  <c r="H84" i="31"/>
  <c r="H127" i="29" s="1"/>
  <c r="L99" i="31"/>
  <c r="L142" i="29" s="1"/>
  <c r="L89" i="31"/>
  <c r="L132" i="29" s="1"/>
  <c r="L88" i="31"/>
  <c r="L131" i="29" s="1"/>
  <c r="N106" i="31"/>
  <c r="N149" i="29" s="1"/>
  <c r="H102" i="31"/>
  <c r="H145" i="29" s="1"/>
  <c r="D92" i="31"/>
  <c r="D135" i="29" s="1"/>
  <c r="D87" i="31"/>
  <c r="D130" i="29" s="1"/>
  <c r="H101" i="31"/>
  <c r="H144" i="29" s="1"/>
  <c r="L91" i="31"/>
  <c r="L134" i="29" s="1"/>
  <c r="J106" i="31"/>
  <c r="J149" i="29" s="1"/>
  <c r="N96" i="31"/>
  <c r="N139" i="29" s="1"/>
  <c r="F102" i="31"/>
  <c r="F145" i="29" s="1"/>
  <c r="J85" i="31"/>
  <c r="J128" i="29" s="1"/>
  <c r="D99" i="31"/>
  <c r="D142" i="29" s="1"/>
  <c r="D102" i="31"/>
  <c r="D145" i="29" s="1"/>
  <c r="L84" i="31"/>
  <c r="L127" i="29" s="1"/>
  <c r="N99" i="31"/>
  <c r="N142" i="29" s="1"/>
  <c r="J98" i="31"/>
  <c r="J141" i="29" s="1"/>
  <c r="F95" i="31"/>
  <c r="F138" i="29" s="1"/>
  <c r="F86" i="31"/>
  <c r="F129" i="29" s="1"/>
  <c r="L101" i="31"/>
  <c r="L144" i="29" s="1"/>
  <c r="D91" i="31"/>
  <c r="D134" i="29" s="1"/>
  <c r="D94" i="31"/>
  <c r="D137" i="29" s="1"/>
  <c r="L100" i="31"/>
  <c r="L143" i="29" s="1"/>
  <c r="F105" i="31"/>
  <c r="F148" i="29" s="1"/>
  <c r="L106" i="31"/>
  <c r="L149" i="29" s="1"/>
  <c r="F87" i="31"/>
  <c r="F130" i="29" s="1"/>
  <c r="J94" i="31"/>
  <c r="J137" i="29" s="1"/>
  <c r="L85" i="31"/>
  <c r="L128" i="29" s="1"/>
  <c r="D107" i="31"/>
  <c r="L92" i="31"/>
  <c r="L135" i="29" s="1"/>
  <c r="H100" i="31"/>
  <c r="H143" i="29" s="1"/>
  <c r="N107" i="31"/>
  <c r="F89" i="31"/>
  <c r="F132" i="29" s="1"/>
  <c r="L97" i="31"/>
  <c r="L140" i="29" s="1"/>
  <c r="J90" i="31"/>
  <c r="J133" i="29" s="1"/>
  <c r="H97" i="31"/>
  <c r="H140" i="29" s="1"/>
  <c r="N104" i="31"/>
  <c r="N147" i="29" s="1"/>
  <c r="H104" i="31"/>
  <c r="H147" i="29" s="1"/>
  <c r="L87" i="31"/>
  <c r="L130" i="29" s="1"/>
  <c r="F94" i="31"/>
  <c r="F137" i="29" s="1"/>
  <c r="L102" i="31"/>
  <c r="L145" i="29" s="1"/>
  <c r="F85" i="31"/>
  <c r="F128" i="29" s="1"/>
  <c r="L93" i="31"/>
  <c r="L136" i="29" s="1"/>
  <c r="D96" i="31"/>
  <c r="D139" i="29" s="1"/>
  <c r="D101" i="31"/>
  <c r="D144" i="29" s="1"/>
  <c r="H93" i="31"/>
  <c r="H136" i="29" s="1"/>
  <c r="N100" i="31"/>
  <c r="N143" i="29" s="1"/>
  <c r="J107" i="31"/>
  <c r="N91" i="31"/>
  <c r="N134" i="29" s="1"/>
  <c r="H98" i="31"/>
  <c r="H141" i="29" s="1"/>
  <c r="N105" i="31"/>
  <c r="N148" i="29" s="1"/>
  <c r="L98" i="31"/>
  <c r="L141" i="29" s="1"/>
  <c r="J104" i="31"/>
  <c r="J147" i="29" s="1"/>
  <c r="N88" i="31"/>
  <c r="N131" i="29" s="1"/>
  <c r="H88" i="31"/>
  <c r="H131" i="29" s="1"/>
  <c r="N95" i="31"/>
  <c r="N138" i="29" s="1"/>
  <c r="H103" i="31"/>
  <c r="H146" i="29" s="1"/>
  <c r="L86" i="31"/>
  <c r="L129" i="29" s="1"/>
  <c r="H94" i="31"/>
  <c r="H137" i="29" s="1"/>
  <c r="N101" i="31"/>
  <c r="N144" i="29" s="1"/>
  <c r="B127" i="29"/>
  <c r="D106" i="31"/>
  <c r="D149" i="29" s="1"/>
  <c r="D88" i="31"/>
  <c r="D131" i="29" s="1"/>
  <c r="D93" i="31"/>
  <c r="D136" i="29" s="1"/>
  <c r="H85" i="31"/>
  <c r="H128" i="29" s="1"/>
  <c r="N92" i="31"/>
  <c r="N135" i="29" s="1"/>
  <c r="J99" i="31"/>
  <c r="J142" i="29" s="1"/>
  <c r="F98" i="31"/>
  <c r="F141" i="29" s="1"/>
  <c r="H90" i="31"/>
  <c r="H133" i="29" s="1"/>
  <c r="N97" i="31"/>
  <c r="N140" i="29" s="1"/>
  <c r="N90" i="31"/>
  <c r="N133" i="29" s="1"/>
  <c r="J96" i="31"/>
  <c r="J139" i="29" s="1"/>
  <c r="H107" i="31"/>
  <c r="J103" i="31"/>
  <c r="J146" i="29" s="1"/>
  <c r="N87" i="31"/>
  <c r="N130" i="29" s="1"/>
  <c r="H95" i="31"/>
  <c r="H138" i="29" s="1"/>
  <c r="N102" i="31"/>
  <c r="N145" i="29" s="1"/>
  <c r="H86" i="31"/>
  <c r="H129" i="29" s="1"/>
  <c r="N93" i="31"/>
  <c r="N136" i="29" s="1"/>
  <c r="D98" i="31"/>
  <c r="D141" i="29" s="1"/>
  <c r="D103" i="31"/>
  <c r="D146" i="29" s="1"/>
  <c r="D85" i="31"/>
  <c r="D128" i="29" s="1"/>
  <c r="J100" i="31"/>
  <c r="J143" i="29" s="1"/>
  <c r="F107" i="31"/>
  <c r="J91" i="31"/>
  <c r="J134" i="29" s="1"/>
  <c r="H91" i="31"/>
  <c r="H134" i="29" s="1"/>
  <c r="J105" i="31"/>
  <c r="J148" i="29" s="1"/>
  <c r="N89" i="31"/>
  <c r="N132" i="29" s="1"/>
  <c r="F104" i="31"/>
  <c r="F147" i="29" s="1"/>
  <c r="J88" i="31"/>
  <c r="J131" i="29" s="1"/>
  <c r="N98" i="31"/>
  <c r="N141" i="29" s="1"/>
  <c r="J95" i="31"/>
  <c r="J138" i="29" s="1"/>
  <c r="F106" i="31"/>
  <c r="F149" i="29" s="1"/>
  <c r="H87" i="31"/>
  <c r="H130" i="29" s="1"/>
  <c r="N94" i="31"/>
  <c r="N137" i="29" s="1"/>
  <c r="J101" i="31"/>
  <c r="J144" i="29" s="1"/>
  <c r="N85" i="31"/>
  <c r="N128" i="29" s="1"/>
  <c r="D95" i="31"/>
  <c r="D138" i="29" s="1"/>
  <c r="J92" i="31"/>
  <c r="J135" i="29" s="1"/>
  <c r="F99" i="31"/>
  <c r="F142" i="29" s="1"/>
  <c r="L107" i="31"/>
  <c r="L90" i="31"/>
  <c r="L133" i="29" s="1"/>
  <c r="J97" i="31"/>
  <c r="J140" i="29" s="1"/>
  <c r="F90" i="31"/>
  <c r="F133" i="29" s="1"/>
  <c r="F96" i="31"/>
  <c r="F139" i="29" s="1"/>
  <c r="L104" i="31"/>
  <c r="L147" i="29" s="1"/>
  <c r="F103" i="31"/>
  <c r="F146" i="29" s="1"/>
  <c r="J87" i="31"/>
  <c r="J130" i="29" s="1"/>
  <c r="H99" i="31"/>
  <c r="H142" i="29" s="1"/>
  <c r="J102" i="31"/>
  <c r="J145" i="29" s="1"/>
  <c r="N86" i="31"/>
  <c r="N129" i="29" s="1"/>
  <c r="Y4" i="33"/>
  <c r="R4" i="33"/>
  <c r="H120" i="31" l="1"/>
  <c r="D120" i="31" s="1"/>
  <c r="I5" i="49"/>
  <c r="J6" i="49"/>
  <c r="D8" i="49"/>
  <c r="E9" i="49"/>
  <c r="H53" i="34" s="1" a="1"/>
  <c r="H53" i="34" s="1"/>
  <c r="F10" i="49"/>
  <c r="H146" i="34" s="1" a="1"/>
  <c r="H146" i="34" s="1"/>
  <c r="G11" i="49"/>
  <c r="H32" i="34" s="1" a="1"/>
  <c r="H32" i="34" s="1"/>
  <c r="H12" i="49"/>
  <c r="H102" i="34" s="1" a="1"/>
  <c r="H102" i="34" s="1"/>
  <c r="I13" i="49"/>
  <c r="H126" i="34" s="1" a="1"/>
  <c r="H126" i="34" s="1"/>
  <c r="J14" i="49"/>
  <c r="H81" i="34" s="1" a="1"/>
  <c r="H81" i="34" s="1"/>
  <c r="D16" i="49"/>
  <c r="H14" i="34" s="1" a="1"/>
  <c r="H14" i="34" s="1"/>
  <c r="E17" i="49"/>
  <c r="H61" i="34" s="1" a="1"/>
  <c r="H61" i="34" s="1"/>
  <c r="F18" i="49"/>
  <c r="H154" i="34" s="1" a="1"/>
  <c r="H154" i="34" s="1"/>
  <c r="G19" i="49"/>
  <c r="H40" i="34" s="1" a="1"/>
  <c r="H40" i="34" s="1"/>
  <c r="H20" i="49"/>
  <c r="H110" i="34" s="1" a="1"/>
  <c r="H110" i="34" s="1"/>
  <c r="I21" i="49"/>
  <c r="H134" i="34" s="1" a="1"/>
  <c r="H134" i="34" s="1"/>
  <c r="J22" i="49"/>
  <c r="H89" i="34" s="1" a="1"/>
  <c r="H89" i="34" s="1"/>
  <c r="D24" i="49"/>
  <c r="H22" i="34" s="1" a="1"/>
  <c r="H22" i="34" s="1"/>
  <c r="E25" i="49"/>
  <c r="F26" i="49"/>
  <c r="H162" i="34" s="1" a="1"/>
  <c r="H162" i="34" s="1"/>
  <c r="G4" i="49"/>
  <c r="H25" i="34" s="1" a="1"/>
  <c r="H25" i="34" s="1"/>
  <c r="E4" i="49"/>
  <c r="H48" i="34" s="1" a="1"/>
  <c r="H48" i="34" s="1"/>
  <c r="J5" i="49"/>
  <c r="H72" i="34" s="1" a="1"/>
  <c r="H72" i="34" s="1"/>
  <c r="D7" i="49"/>
  <c r="H5" i="34" s="1" a="1"/>
  <c r="H5" i="34" s="1"/>
  <c r="E8" i="49"/>
  <c r="H52" i="34" s="1" a="1"/>
  <c r="H52" i="34" s="1"/>
  <c r="F9" i="49"/>
  <c r="G10" i="49"/>
  <c r="H31" i="34" s="1" a="1"/>
  <c r="H31" i="34" s="1"/>
  <c r="H11" i="49"/>
  <c r="H101" i="34" s="1" a="1"/>
  <c r="H101" i="34" s="1"/>
  <c r="I12" i="49"/>
  <c r="H125" i="34" s="1" a="1"/>
  <c r="H125" i="34" s="1"/>
  <c r="J13" i="49"/>
  <c r="D15" i="49"/>
  <c r="H13" i="34" s="1" a="1"/>
  <c r="H13" i="34" s="1"/>
  <c r="E16" i="49"/>
  <c r="H60" i="34" s="1" a="1"/>
  <c r="H60" i="34" s="1"/>
  <c r="F17" i="49"/>
  <c r="H153" i="34" s="1" a="1"/>
  <c r="H153" i="34" s="1"/>
  <c r="G18" i="49"/>
  <c r="H39" i="34" s="1" a="1"/>
  <c r="H39" i="34" s="1"/>
  <c r="H19" i="49"/>
  <c r="I20" i="49"/>
  <c r="H133" i="34" s="1" a="1"/>
  <c r="H133" i="34" s="1"/>
  <c r="J21" i="49"/>
  <c r="H88" i="34" s="1" a="1"/>
  <c r="H88" i="34" s="1"/>
  <c r="D23" i="49"/>
  <c r="H21" i="34" s="1" a="1"/>
  <c r="H21" i="34" s="1"/>
  <c r="E24" i="49"/>
  <c r="H68" i="34" s="1" a="1"/>
  <c r="H68" i="34" s="1"/>
  <c r="F25" i="49"/>
  <c r="H161" i="34" s="1" a="1"/>
  <c r="H161" i="34" s="1"/>
  <c r="G26" i="49"/>
  <c r="H47" i="34" s="1" a="1"/>
  <c r="H47" i="34" s="1"/>
  <c r="F4" i="49"/>
  <c r="H140" i="34" s="1" a="1"/>
  <c r="H140" i="34" s="1"/>
  <c r="D4" i="49"/>
  <c r="D6" i="49"/>
  <c r="H4" i="34" s="1" a="1"/>
  <c r="H4" i="34" s="1"/>
  <c r="E7" i="49"/>
  <c r="H51" i="34" s="1" a="1"/>
  <c r="H51" i="34" s="1"/>
  <c r="F8" i="49"/>
  <c r="H144" i="34" s="1" a="1"/>
  <c r="H144" i="34" s="1"/>
  <c r="D5" i="49"/>
  <c r="H3" i="34" s="1" a="1"/>
  <c r="H3" i="34" s="1"/>
  <c r="E5" i="49"/>
  <c r="H49" i="34" s="1" a="1"/>
  <c r="H49" i="34" s="1"/>
  <c r="F5" i="49"/>
  <c r="H141" i="34" s="1" a="1"/>
  <c r="H141" i="34" s="1"/>
  <c r="F7" i="49"/>
  <c r="J8" i="49"/>
  <c r="H75" i="34" s="1" a="1"/>
  <c r="H75" i="34" s="1"/>
  <c r="H10" i="49"/>
  <c r="H100" i="34" s="1" a="1"/>
  <c r="H100" i="34" s="1"/>
  <c r="D12" i="49"/>
  <c r="H10" i="34" s="1" a="1"/>
  <c r="H10" i="34" s="1"/>
  <c r="G13" i="49"/>
  <c r="H34" i="34" s="1" a="1"/>
  <c r="H34" i="34" s="1"/>
  <c r="E15" i="49"/>
  <c r="H59" i="34" s="1" a="1"/>
  <c r="H59" i="34" s="1"/>
  <c r="H16" i="49"/>
  <c r="H106" i="34" s="1" a="1"/>
  <c r="H106" i="34" s="1"/>
  <c r="D18" i="49"/>
  <c r="H16" i="34" s="1" a="1"/>
  <c r="H16" i="34" s="1"/>
  <c r="I19" i="49"/>
  <c r="E21" i="49"/>
  <c r="H22" i="49"/>
  <c r="H112" i="34" s="1" a="1"/>
  <c r="H112" i="34" s="1"/>
  <c r="F24" i="49"/>
  <c r="H160" i="34" s="1" a="1"/>
  <c r="H160" i="34" s="1"/>
  <c r="I25" i="49"/>
  <c r="H138" i="34" s="1" a="1"/>
  <c r="H138" i="34" s="1"/>
  <c r="I4" i="49"/>
  <c r="H117" i="34" s="1" a="1"/>
  <c r="H117" i="34" s="1"/>
  <c r="G5" i="49"/>
  <c r="H26" i="34" s="1" a="1"/>
  <c r="H26" i="34" s="1"/>
  <c r="G7" i="49"/>
  <c r="H28" i="34" s="1" a="1"/>
  <c r="H28" i="34" s="1"/>
  <c r="D9" i="49"/>
  <c r="I10" i="49"/>
  <c r="E12" i="49"/>
  <c r="H13" i="49"/>
  <c r="H103" i="34" s="1" a="1"/>
  <c r="H103" i="34" s="1"/>
  <c r="F15" i="49"/>
  <c r="H151" i="34" s="1" a="1"/>
  <c r="H151" i="34" s="1"/>
  <c r="I16" i="49"/>
  <c r="H129" i="34" s="1" a="1"/>
  <c r="H129" i="34" s="1"/>
  <c r="E18" i="49"/>
  <c r="H62" i="34" s="1" a="1"/>
  <c r="H62" i="34" s="1"/>
  <c r="J19" i="49"/>
  <c r="H86" i="34" s="1" a="1"/>
  <c r="H86" i="34" s="1"/>
  <c r="F21" i="49"/>
  <c r="I22" i="49"/>
  <c r="G24" i="49"/>
  <c r="H45" i="34" s="1" a="1"/>
  <c r="H45" i="34" s="1"/>
  <c r="J25" i="49"/>
  <c r="H92" i="34" s="1" a="1"/>
  <c r="H92" i="34" s="1"/>
  <c r="H4" i="49"/>
  <c r="H94" i="34" s="1" a="1"/>
  <c r="H94" i="34" s="1"/>
  <c r="H7" i="49"/>
  <c r="H97" i="34" s="1" a="1"/>
  <c r="H97" i="34" s="1"/>
  <c r="G9" i="49"/>
  <c r="H30" i="34" s="1" a="1"/>
  <c r="H30" i="34" s="1"/>
  <c r="J10" i="49"/>
  <c r="H77" i="34" s="1" a="1"/>
  <c r="H77" i="34" s="1"/>
  <c r="F12" i="49"/>
  <c r="H148" i="34" s="1" a="1"/>
  <c r="H148" i="34" s="1"/>
  <c r="D14" i="49"/>
  <c r="H12" i="34" s="1" a="1"/>
  <c r="H12" i="34" s="1"/>
  <c r="G15" i="49"/>
  <c r="H36" i="34" s="1" a="1"/>
  <c r="H36" i="34" s="1"/>
  <c r="J16" i="49"/>
  <c r="H83" i="34" s="1" a="1"/>
  <c r="H83" i="34" s="1"/>
  <c r="H18" i="49"/>
  <c r="H108" i="34" s="1" a="1"/>
  <c r="H108" i="34" s="1"/>
  <c r="D20" i="49"/>
  <c r="H18" i="34" s="1" a="1"/>
  <c r="H18" i="34" s="1"/>
  <c r="G21" i="49"/>
  <c r="H42" i="34" s="1" a="1"/>
  <c r="H42" i="34" s="1"/>
  <c r="E23" i="49"/>
  <c r="H67" i="34" s="1" a="1"/>
  <c r="H67" i="34" s="1"/>
  <c r="H24" i="49"/>
  <c r="D26" i="49"/>
  <c r="H24" i="34" s="1" a="1"/>
  <c r="H24" i="34" s="1"/>
  <c r="H5" i="49"/>
  <c r="H95" i="34" s="1" a="1"/>
  <c r="H95" i="34" s="1"/>
  <c r="E6" i="49"/>
  <c r="H50" i="34" s="1" a="1"/>
  <c r="H50" i="34" s="1"/>
  <c r="I7" i="49"/>
  <c r="H120" i="34" s="1" a="1"/>
  <c r="H120" i="34" s="1"/>
  <c r="H9" i="49"/>
  <c r="H99" i="34" s="1" a="1"/>
  <c r="H99" i="34" s="1"/>
  <c r="D11" i="49"/>
  <c r="H9" i="34" s="1" a="1"/>
  <c r="H9" i="34" s="1"/>
  <c r="G12" i="49"/>
  <c r="H33" i="34" s="1" a="1"/>
  <c r="H33" i="34" s="1"/>
  <c r="E14" i="49"/>
  <c r="H15" i="49"/>
  <c r="H105" i="34" s="1" a="1"/>
  <c r="H105" i="34" s="1"/>
  <c r="D17" i="49"/>
  <c r="H15" i="34" s="1" a="1"/>
  <c r="H15" i="34" s="1"/>
  <c r="I18" i="49"/>
  <c r="H131" i="34" s="1" a="1"/>
  <c r="H131" i="34" s="1"/>
  <c r="E20" i="49"/>
  <c r="H64" i="34" s="1" a="1"/>
  <c r="H64" i="34" s="1"/>
  <c r="H21" i="49"/>
  <c r="H111" i="34" s="1" a="1"/>
  <c r="H111" i="34" s="1"/>
  <c r="F23" i="49"/>
  <c r="H159" i="34" s="1" a="1"/>
  <c r="H159" i="34" s="1"/>
  <c r="I24" i="49"/>
  <c r="H137" i="34" s="1" a="1"/>
  <c r="H137" i="34" s="1"/>
  <c r="E26" i="49"/>
  <c r="H70" i="34" s="1" a="1"/>
  <c r="H70" i="34" s="1"/>
  <c r="F6" i="49"/>
  <c r="H142" i="34" s="1" a="1"/>
  <c r="H142" i="34" s="1"/>
  <c r="J7" i="49"/>
  <c r="H74" i="34" s="1" a="1"/>
  <c r="H74" i="34" s="1"/>
  <c r="I9" i="49"/>
  <c r="H122" i="34" s="1" a="1"/>
  <c r="H122" i="34" s="1"/>
  <c r="E11" i="49"/>
  <c r="H55" i="34" s="1" a="1"/>
  <c r="H55" i="34" s="1"/>
  <c r="J12" i="49"/>
  <c r="H79" i="34" s="1" a="1"/>
  <c r="H79" i="34" s="1"/>
  <c r="F14" i="49"/>
  <c r="H150" i="34" s="1" a="1"/>
  <c r="H150" i="34" s="1"/>
  <c r="I15" i="49"/>
  <c r="H128" i="34" s="1" a="1"/>
  <c r="H128" i="34" s="1"/>
  <c r="G17" i="49"/>
  <c r="J18" i="49"/>
  <c r="H85" i="34" s="1" a="1"/>
  <c r="H85" i="34" s="1"/>
  <c r="F20" i="49"/>
  <c r="H156" i="34" s="1" a="1"/>
  <c r="H156" i="34" s="1"/>
  <c r="D22" i="49"/>
  <c r="H20" i="34" s="1" a="1"/>
  <c r="H20" i="34" s="1"/>
  <c r="G23" i="49"/>
  <c r="H44" i="34" s="1" a="1"/>
  <c r="H44" i="34" s="1"/>
  <c r="J24" i="49"/>
  <c r="H91" i="34" s="1" a="1"/>
  <c r="H91" i="34" s="1"/>
  <c r="H26" i="49"/>
  <c r="H116" i="34" s="1" a="1"/>
  <c r="H116" i="34" s="1"/>
  <c r="G6" i="49"/>
  <c r="H27" i="34" s="1" a="1"/>
  <c r="H27" i="34" s="1"/>
  <c r="G8" i="49"/>
  <c r="H29" i="34" s="1" a="1"/>
  <c r="H29" i="34" s="1"/>
  <c r="J9" i="49"/>
  <c r="F11" i="49"/>
  <c r="H147" i="34" s="1" a="1"/>
  <c r="H147" i="34" s="1"/>
  <c r="D13" i="49"/>
  <c r="H11" i="34" s="1" a="1"/>
  <c r="H11" i="34" s="1"/>
  <c r="G14" i="49"/>
  <c r="H35" i="34" s="1" a="1"/>
  <c r="H35" i="34" s="1"/>
  <c r="J15" i="49"/>
  <c r="H82" i="34" s="1" a="1"/>
  <c r="H82" i="34" s="1"/>
  <c r="H17" i="49"/>
  <c r="H107" i="34" s="1" a="1"/>
  <c r="H107" i="34" s="1"/>
  <c r="D19" i="49"/>
  <c r="H17" i="34" s="1" a="1"/>
  <c r="H17" i="34" s="1"/>
  <c r="G20" i="49"/>
  <c r="H41" i="34" s="1" a="1"/>
  <c r="H41" i="34" s="1"/>
  <c r="E22" i="49"/>
  <c r="H66" i="34" s="1" a="1"/>
  <c r="H66" i="34" s="1"/>
  <c r="H23" i="49"/>
  <c r="H113" i="34" s="1" a="1"/>
  <c r="H113" i="34" s="1"/>
  <c r="D25" i="49"/>
  <c r="H23" i="34" s="1" a="1"/>
  <c r="H23" i="34" s="1"/>
  <c r="I26" i="49"/>
  <c r="H139" i="34" s="1" a="1"/>
  <c r="H139" i="34" s="1"/>
  <c r="H6" i="49"/>
  <c r="H96" i="34" s="1" a="1"/>
  <c r="H96" i="34" s="1"/>
  <c r="I6" i="49"/>
  <c r="H119" i="34" s="1" a="1"/>
  <c r="H119" i="34" s="1"/>
  <c r="F13" i="49"/>
  <c r="H149" i="34" s="1" a="1"/>
  <c r="H149" i="34" s="1"/>
  <c r="F19" i="49"/>
  <c r="H155" i="34" s="1" a="1"/>
  <c r="H155" i="34" s="1"/>
  <c r="H25" i="49"/>
  <c r="G16" i="49"/>
  <c r="H37" i="34" s="1" a="1"/>
  <c r="H37" i="34" s="1"/>
  <c r="I23" i="49"/>
  <c r="H136" i="34" s="1" a="1"/>
  <c r="H136" i="34" s="1"/>
  <c r="H8" i="49"/>
  <c r="H98" i="34" s="1" a="1"/>
  <c r="H98" i="34" s="1"/>
  <c r="H14" i="49"/>
  <c r="H104" i="34" s="1" a="1"/>
  <c r="H104" i="34" s="1"/>
  <c r="J20" i="49"/>
  <c r="H87" i="34" s="1" a="1"/>
  <c r="H87" i="34" s="1"/>
  <c r="J26" i="49"/>
  <c r="H93" i="34" s="1" a="1"/>
  <c r="H93" i="34" s="1"/>
  <c r="E10" i="49"/>
  <c r="H54" i="34" s="1" a="1"/>
  <c r="H54" i="34" s="1"/>
  <c r="I11" i="49"/>
  <c r="I8" i="49"/>
  <c r="H121" i="34" s="1" a="1"/>
  <c r="H121" i="34" s="1"/>
  <c r="I14" i="49"/>
  <c r="H127" i="34" s="1" a="1"/>
  <c r="H127" i="34" s="1"/>
  <c r="D21" i="49"/>
  <c r="H19" i="34" s="1" a="1"/>
  <c r="H19" i="34" s="1"/>
  <c r="J4" i="49"/>
  <c r="H71" i="34" s="1" a="1"/>
  <c r="H71" i="34" s="1"/>
  <c r="D10" i="49"/>
  <c r="H8" i="34" s="1" a="1"/>
  <c r="H8" i="34" s="1"/>
  <c r="F16" i="49"/>
  <c r="H152" i="34" s="1" a="1"/>
  <c r="H152" i="34" s="1"/>
  <c r="F22" i="49"/>
  <c r="H158" i="34" s="1" a="1"/>
  <c r="H158" i="34" s="1"/>
  <c r="G22" i="49"/>
  <c r="H43" i="34" s="1" a="1"/>
  <c r="H43" i="34" s="1"/>
  <c r="I17" i="49"/>
  <c r="H130" i="34" s="1" a="1"/>
  <c r="H130" i="34" s="1"/>
  <c r="J11" i="49"/>
  <c r="H78" i="34" s="1" a="1"/>
  <c r="H78" i="34" s="1"/>
  <c r="J17" i="49"/>
  <c r="H84" i="34" s="1" a="1"/>
  <c r="H84" i="34" s="1"/>
  <c r="J23" i="49"/>
  <c r="H90" i="34" s="1" a="1"/>
  <c r="H90" i="34" s="1"/>
  <c r="E13" i="49"/>
  <c r="H57" i="34" s="1" a="1"/>
  <c r="H57" i="34" s="1"/>
  <c r="E19" i="49"/>
  <c r="H63" i="34" s="1" a="1"/>
  <c r="H63" i="34" s="1"/>
  <c r="G25" i="49"/>
  <c r="H46" i="34" s="1" a="1"/>
  <c r="H46" i="34" s="1"/>
  <c r="L4" i="49" a="1"/>
  <c r="L4" i="49" s="1"/>
  <c r="K4" i="49" a="1"/>
  <c r="K4" i="49" s="1"/>
  <c r="R4" i="49" s="1" a="1"/>
  <c r="R4" i="49" s="1"/>
  <c r="Q5" i="49" a="1"/>
  <c r="Q5" i="49" s="1"/>
  <c r="K7" i="49" a="1"/>
  <c r="K7" i="49" s="1"/>
  <c r="R7" i="49" s="1" a="1"/>
  <c r="R7" i="49" s="1"/>
  <c r="L8" i="49" a="1"/>
  <c r="L8" i="49" s="1"/>
  <c r="M9" i="49" a="1"/>
  <c r="M9" i="49" s="1"/>
  <c r="N10" i="49" a="1"/>
  <c r="N10" i="49" s="1"/>
  <c r="O11" i="49" a="1"/>
  <c r="O11" i="49" s="1"/>
  <c r="P12" i="49" a="1"/>
  <c r="P12" i="49" s="1"/>
  <c r="Q13" i="49" a="1"/>
  <c r="Q13" i="49" s="1"/>
  <c r="K15" i="49" a="1"/>
  <c r="K15" i="49" s="1"/>
  <c r="L16" i="49" a="1"/>
  <c r="L16" i="49" s="1"/>
  <c r="M17" i="49" a="1"/>
  <c r="M17" i="49" s="1"/>
  <c r="N18" i="49" a="1"/>
  <c r="N18" i="49" s="1"/>
  <c r="O19" i="49" a="1"/>
  <c r="O19" i="49" s="1"/>
  <c r="P20" i="49" a="1"/>
  <c r="P20" i="49" s="1"/>
  <c r="Q21" i="49" a="1"/>
  <c r="Q21" i="49" s="1"/>
  <c r="K23" i="49" a="1"/>
  <c r="K23" i="49" s="1"/>
  <c r="L24" i="49" a="1"/>
  <c r="L24" i="49" s="1"/>
  <c r="M25" i="49" a="1"/>
  <c r="M25" i="49" s="1"/>
  <c r="N26" i="49" a="1"/>
  <c r="N26" i="49" s="1"/>
  <c r="M4" i="49" a="1"/>
  <c r="M4" i="49" s="1"/>
  <c r="K6" i="49" a="1"/>
  <c r="K6" i="49" s="1"/>
  <c r="L7" i="49" a="1"/>
  <c r="L7" i="49" s="1"/>
  <c r="M8" i="49" a="1"/>
  <c r="M8" i="49" s="1"/>
  <c r="N9" i="49" a="1"/>
  <c r="N9" i="49" s="1"/>
  <c r="O10" i="49" a="1"/>
  <c r="O10" i="49" s="1"/>
  <c r="P11" i="49" a="1"/>
  <c r="P11" i="49" s="1"/>
  <c r="Q12" i="49" a="1"/>
  <c r="Q12" i="49" s="1"/>
  <c r="K14" i="49" a="1"/>
  <c r="K14" i="49" s="1"/>
  <c r="L15" i="49" a="1"/>
  <c r="L15" i="49" s="1"/>
  <c r="M16" i="49" a="1"/>
  <c r="M16" i="49" s="1"/>
  <c r="N17" i="49" a="1"/>
  <c r="N17" i="49" s="1"/>
  <c r="O18" i="49" a="1"/>
  <c r="O18" i="49" s="1"/>
  <c r="P19" i="49" a="1"/>
  <c r="P19" i="49" s="1"/>
  <c r="Q20" i="49" a="1"/>
  <c r="Q20" i="49" s="1"/>
  <c r="K22" i="49" a="1"/>
  <c r="K22" i="49" s="1"/>
  <c r="L23" i="49" a="1"/>
  <c r="L23" i="49" s="1"/>
  <c r="M24" i="49" a="1"/>
  <c r="M24" i="49" s="1"/>
  <c r="N25" i="49" a="1"/>
  <c r="N25" i="49" s="1"/>
  <c r="O26" i="49" a="1"/>
  <c r="O26" i="49" s="1"/>
  <c r="L6" i="49" a="1"/>
  <c r="L6" i="49" s="1"/>
  <c r="O7" i="49" a="1"/>
  <c r="O7" i="49" s="1"/>
  <c r="K9" i="49" a="1"/>
  <c r="K9" i="49" s="1"/>
  <c r="P10" i="49" a="1"/>
  <c r="P10" i="49" s="1"/>
  <c r="L12" i="49" a="1"/>
  <c r="L12" i="49" s="1"/>
  <c r="O13" i="49" a="1"/>
  <c r="O13" i="49" s="1"/>
  <c r="M15" i="49" a="1"/>
  <c r="M15" i="49" s="1"/>
  <c r="P16" i="49" a="1"/>
  <c r="P16" i="49" s="1"/>
  <c r="L18" i="49" a="1"/>
  <c r="L18" i="49" s="1"/>
  <c r="Q19" i="49" a="1"/>
  <c r="Q19" i="49" s="1"/>
  <c r="M21" i="49" a="1"/>
  <c r="M21" i="49" s="1"/>
  <c r="P22" i="49" a="1"/>
  <c r="P22" i="49" s="1"/>
  <c r="N24" i="49" a="1"/>
  <c r="N24" i="49" s="1"/>
  <c r="Q25" i="49" a="1"/>
  <c r="Q25" i="49" s="1"/>
  <c r="O4" i="49" a="1"/>
  <c r="O4" i="49" s="1"/>
  <c r="M6" i="49" a="1"/>
  <c r="M6" i="49" s="1"/>
  <c r="P7" i="49" a="1"/>
  <c r="P7" i="49" s="1"/>
  <c r="L9" i="49" a="1"/>
  <c r="L9" i="49" s="1"/>
  <c r="Q10" i="49" a="1"/>
  <c r="Q10" i="49" s="1"/>
  <c r="M12" i="49" a="1"/>
  <c r="M12" i="49" s="1"/>
  <c r="P13" i="49" a="1"/>
  <c r="P13" i="49" s="1"/>
  <c r="N15" i="49" a="1"/>
  <c r="N15" i="49" s="1"/>
  <c r="Q16" i="49" a="1"/>
  <c r="Q16" i="49" s="1"/>
  <c r="M18" i="49" a="1"/>
  <c r="M18" i="49" s="1"/>
  <c r="K20" i="49" a="1"/>
  <c r="K20" i="49" s="1"/>
  <c r="N21" i="49" a="1"/>
  <c r="N21" i="49" s="1"/>
  <c r="Q22" i="49" a="1"/>
  <c r="Q22" i="49" s="1"/>
  <c r="O24" i="49" a="1"/>
  <c r="O24" i="49" s="1"/>
  <c r="K26" i="49" a="1"/>
  <c r="K26" i="49" s="1"/>
  <c r="N4" i="49" a="1"/>
  <c r="N4" i="49" s="1"/>
  <c r="K5" i="49" a="1"/>
  <c r="K5" i="49" s="1"/>
  <c r="N6" i="49" a="1"/>
  <c r="N6" i="49" s="1"/>
  <c r="Q7" i="49" a="1"/>
  <c r="Q7" i="49" s="1"/>
  <c r="O9" i="49" a="1"/>
  <c r="O9" i="49" s="1"/>
  <c r="K11" i="49" a="1"/>
  <c r="K11" i="49" s="1"/>
  <c r="N12" i="49" a="1"/>
  <c r="N12" i="49" s="1"/>
  <c r="L14" i="49" a="1"/>
  <c r="L14" i="49" s="1"/>
  <c r="Z14" i="49" s="1" a="1"/>
  <c r="Z14" i="49" s="1"/>
  <c r="O15" i="49" a="1"/>
  <c r="O15" i="49" s="1"/>
  <c r="K17" i="49" a="1"/>
  <c r="K17" i="49" s="1"/>
  <c r="L5" i="49" a="1"/>
  <c r="L5" i="49" s="1"/>
  <c r="O6" i="49" a="1"/>
  <c r="O6" i="49" s="1"/>
  <c r="K8" i="49" a="1"/>
  <c r="K8" i="49" s="1"/>
  <c r="P9" i="49" a="1"/>
  <c r="P9" i="49" s="1"/>
  <c r="L11" i="49" a="1"/>
  <c r="L11" i="49" s="1"/>
  <c r="O12" i="49" a="1"/>
  <c r="O12" i="49" s="1"/>
  <c r="M14" i="49" a="1"/>
  <c r="M14" i="49" s="1"/>
  <c r="P15" i="49" a="1"/>
  <c r="P15" i="49" s="1"/>
  <c r="L17" i="49" a="1"/>
  <c r="L17" i="49" s="1"/>
  <c r="Q18" i="49" a="1"/>
  <c r="Q18" i="49" s="1"/>
  <c r="M20" i="49" a="1"/>
  <c r="M20" i="49" s="1"/>
  <c r="P21" i="49" a="1"/>
  <c r="P21" i="49" s="1"/>
  <c r="N23" i="49" a="1"/>
  <c r="N23" i="49" s="1"/>
  <c r="Q24" i="49" a="1"/>
  <c r="Q24" i="49" s="1"/>
  <c r="M26" i="49" a="1"/>
  <c r="M26" i="49" s="1"/>
  <c r="M5" i="49" a="1"/>
  <c r="M5" i="49" s="1"/>
  <c r="P6" i="49" a="1"/>
  <c r="P6" i="49" s="1"/>
  <c r="N8" i="49" a="1"/>
  <c r="N8" i="49" s="1"/>
  <c r="Q9" i="49" a="1"/>
  <c r="Q9" i="49" s="1"/>
  <c r="M11" i="49" a="1"/>
  <c r="M11" i="49" s="1"/>
  <c r="T11" i="49" s="1" a="1"/>
  <c r="T11" i="49" s="1"/>
  <c r="K13" i="49" a="1"/>
  <c r="K13" i="49" s="1"/>
  <c r="N14" i="49" a="1"/>
  <c r="N14" i="49" s="1"/>
  <c r="Q15" i="49" a="1"/>
  <c r="Q15" i="49" s="1"/>
  <c r="O17" i="49" a="1"/>
  <c r="O17" i="49" s="1"/>
  <c r="K19" i="49" a="1"/>
  <c r="K19" i="49" s="1"/>
  <c r="N20" i="49" a="1"/>
  <c r="N20" i="49" s="1"/>
  <c r="L22" i="49" a="1"/>
  <c r="L22" i="49" s="1"/>
  <c r="O23" i="49" a="1"/>
  <c r="O23" i="49" s="1"/>
  <c r="K25" i="49" a="1"/>
  <c r="K25" i="49" s="1"/>
  <c r="P26" i="49" a="1"/>
  <c r="P26" i="49" s="1"/>
  <c r="N5" i="49" a="1"/>
  <c r="N5" i="49" s="1"/>
  <c r="Q6" i="49" a="1"/>
  <c r="Q6" i="49" s="1"/>
  <c r="O8" i="49" a="1"/>
  <c r="O8" i="49" s="1"/>
  <c r="K10" i="49" a="1"/>
  <c r="K10" i="49" s="1"/>
  <c r="N11" i="49" a="1"/>
  <c r="N11" i="49" s="1"/>
  <c r="L13" i="49" a="1"/>
  <c r="L13" i="49" s="1"/>
  <c r="O14" i="49" a="1"/>
  <c r="O14" i="49" s="1"/>
  <c r="K16" i="49" a="1"/>
  <c r="K16" i="49" s="1"/>
  <c r="P17" i="49" a="1"/>
  <c r="P17" i="49" s="1"/>
  <c r="L19" i="49" a="1"/>
  <c r="L19" i="49" s="1"/>
  <c r="O20" i="49" a="1"/>
  <c r="O20" i="49" s="1"/>
  <c r="M22" i="49" a="1"/>
  <c r="M22" i="49" s="1"/>
  <c r="P23" i="49" a="1"/>
  <c r="P23" i="49" s="1"/>
  <c r="Q8" i="49" a="1"/>
  <c r="Q8" i="49" s="1"/>
  <c r="Q14" i="49" a="1"/>
  <c r="Q14" i="49" s="1"/>
  <c r="L20" i="49" a="1"/>
  <c r="L20" i="49" s="1"/>
  <c r="K24" i="49" a="1"/>
  <c r="K24" i="49" s="1"/>
  <c r="P4" i="49" a="1"/>
  <c r="P4" i="49" s="1"/>
  <c r="N22" i="49" a="1"/>
  <c r="N22" i="49" s="1"/>
  <c r="P18" i="49" a="1"/>
  <c r="P18" i="49" s="1"/>
  <c r="L10" i="49" a="1"/>
  <c r="L10" i="49" s="1"/>
  <c r="N16" i="49" a="1"/>
  <c r="N16" i="49" s="1"/>
  <c r="K21" i="49" a="1"/>
  <c r="K21" i="49" s="1"/>
  <c r="P24" i="49" a="1"/>
  <c r="P24" i="49" s="1"/>
  <c r="K18" i="49" a="1"/>
  <c r="K18" i="49" s="1"/>
  <c r="M13" i="49" a="1"/>
  <c r="M13" i="49" s="1"/>
  <c r="L26" i="49" a="1"/>
  <c r="L26" i="49" s="1"/>
  <c r="M10" i="49" a="1"/>
  <c r="M10" i="49" s="1"/>
  <c r="O16" i="49" a="1"/>
  <c r="O16" i="49" s="1"/>
  <c r="L21" i="49" a="1"/>
  <c r="L21" i="49" s="1"/>
  <c r="L25" i="49" a="1"/>
  <c r="L25" i="49" s="1"/>
  <c r="P5" i="49" a="1"/>
  <c r="P5" i="49" s="1"/>
  <c r="P25" i="49" a="1"/>
  <c r="P25" i="49" s="1"/>
  <c r="M7" i="49" a="1"/>
  <c r="M7" i="49" s="1"/>
  <c r="O22" i="49" a="1"/>
  <c r="O22" i="49" s="1"/>
  <c r="Q4" i="49" a="1"/>
  <c r="Q4" i="49" s="1"/>
  <c r="X4" i="49" s="1" a="1"/>
  <c r="X4" i="49" s="1"/>
  <c r="O5" i="49" a="1"/>
  <c r="O5" i="49" s="1"/>
  <c r="Q11" i="49" a="1"/>
  <c r="Q11" i="49" s="1"/>
  <c r="Q17" i="49" a="1"/>
  <c r="Q17" i="49" s="1"/>
  <c r="O21" i="49" a="1"/>
  <c r="O21" i="49" s="1"/>
  <c r="O25" i="49" a="1"/>
  <c r="O25" i="49" s="1"/>
  <c r="K12" i="49" a="1"/>
  <c r="K12" i="49" s="1"/>
  <c r="N7" i="49" a="1"/>
  <c r="N7" i="49" s="1"/>
  <c r="N13" i="49" a="1"/>
  <c r="N13" i="49" s="1"/>
  <c r="M19" i="49" a="1"/>
  <c r="M19" i="49" s="1"/>
  <c r="M23" i="49" a="1"/>
  <c r="M23" i="49" s="1"/>
  <c r="Q26" i="49" a="1"/>
  <c r="Q26" i="49" s="1"/>
  <c r="P8" i="49" a="1"/>
  <c r="P8" i="49" s="1"/>
  <c r="P14" i="49" a="1"/>
  <c r="P14" i="49" s="1"/>
  <c r="N19" i="49" a="1"/>
  <c r="N19" i="49" s="1"/>
  <c r="Q23" i="49" a="1"/>
  <c r="Q23" i="49" s="1"/>
  <c r="A44" i="32"/>
  <c r="J44" i="32" s="1"/>
  <c r="L44" i="32" s="1"/>
  <c r="D36" i="33" s="1"/>
  <c r="B37" i="33" s="1"/>
  <c r="H109" i="34" a="1"/>
  <c r="H109" i="34" s="1"/>
  <c r="H80" i="34" a="1"/>
  <c r="H80" i="34" s="1"/>
  <c r="H69" i="34" a="1"/>
  <c r="H69" i="34" s="1"/>
  <c r="H6" i="34" a="1"/>
  <c r="H6" i="34" s="1"/>
  <c r="H73" i="34" a="1"/>
  <c r="H73" i="34" s="1"/>
  <c r="H118" i="34" a="1"/>
  <c r="H118" i="34" s="1"/>
  <c r="H56" i="34" a="1"/>
  <c r="H56" i="34" s="1"/>
  <c r="H65" i="34" a="1"/>
  <c r="H65" i="34" s="1"/>
  <c r="H145" i="34" a="1"/>
  <c r="H145" i="34" s="1"/>
  <c r="H124" i="34" a="1"/>
  <c r="H124" i="34" s="1"/>
  <c r="H7" i="34" a="1"/>
  <c r="H7" i="34" s="1"/>
  <c r="H76" i="34" a="1"/>
  <c r="H76" i="34" s="1"/>
  <c r="H2" i="34" a="1"/>
  <c r="H2" i="34" s="1"/>
  <c r="H38" i="34" a="1"/>
  <c r="H38" i="34" s="1"/>
  <c r="H114" i="34" a="1"/>
  <c r="H114" i="34" s="1"/>
  <c r="H143" i="34" a="1"/>
  <c r="H143" i="34" s="1"/>
  <c r="H135" i="34" a="1"/>
  <c r="H135" i="34" s="1"/>
  <c r="H115" i="34" a="1"/>
  <c r="H115" i="34" s="1"/>
  <c r="H123" i="34" a="1"/>
  <c r="H123" i="34" s="1"/>
  <c r="H58" i="34" a="1"/>
  <c r="H58" i="34" s="1"/>
  <c r="H157" i="34" a="1"/>
  <c r="H157" i="34" s="1"/>
  <c r="H132" i="34" a="1"/>
  <c r="H132" i="34" s="1"/>
  <c r="C23" i="33"/>
  <c r="B22" i="33" s="1"/>
  <c r="B15" i="30" s="1"/>
  <c r="B21" i="33"/>
  <c r="B14" i="30" s="1"/>
  <c r="H118" i="31"/>
  <c r="F119" i="31"/>
  <c r="O118" i="31" s="1" a="1"/>
  <c r="AM11" i="33" s="1"/>
  <c r="AK4" i="33"/>
  <c r="K37" i="35"/>
  <c r="P31" i="35"/>
  <c r="P32" i="35"/>
  <c r="P40" i="35"/>
  <c r="P48" i="35"/>
  <c r="P49" i="35"/>
  <c r="P33" i="35"/>
  <c r="P41" i="35"/>
  <c r="P34" i="35"/>
  <c r="P42" i="35"/>
  <c r="P50" i="35"/>
  <c r="P35" i="35"/>
  <c r="P43" i="35"/>
  <c r="P51" i="35"/>
  <c r="P47" i="35"/>
  <c r="P36" i="35"/>
  <c r="P44" i="35"/>
  <c r="P52" i="35"/>
  <c r="P53" i="35"/>
  <c r="P37" i="35"/>
  <c r="P45" i="35"/>
  <c r="P38" i="35"/>
  <c r="P46" i="35"/>
  <c r="P39" i="35"/>
  <c r="O31" i="35"/>
  <c r="O32" i="35"/>
  <c r="O40" i="35"/>
  <c r="O48" i="35"/>
  <c r="O33" i="35"/>
  <c r="O41" i="35"/>
  <c r="O49" i="35"/>
  <c r="O34" i="35"/>
  <c r="O42" i="35"/>
  <c r="O50" i="35"/>
  <c r="O35" i="35"/>
  <c r="O43" i="35"/>
  <c r="O51" i="35"/>
  <c r="O36" i="35"/>
  <c r="O44" i="35"/>
  <c r="O52" i="35"/>
  <c r="O37" i="35"/>
  <c r="O45" i="35"/>
  <c r="O53" i="35"/>
  <c r="O47" i="35"/>
  <c r="O38" i="35"/>
  <c r="O46" i="35"/>
  <c r="O39" i="35"/>
  <c r="N31" i="35"/>
  <c r="N32" i="35"/>
  <c r="N40" i="35"/>
  <c r="N48" i="35"/>
  <c r="N33" i="35"/>
  <c r="N41" i="35"/>
  <c r="N49" i="35"/>
  <c r="N34" i="35"/>
  <c r="N42" i="35"/>
  <c r="N50" i="35"/>
  <c r="N35" i="35"/>
  <c r="N43" i="35"/>
  <c r="N51" i="35"/>
  <c r="N36" i="35"/>
  <c r="N44" i="35"/>
  <c r="N52" i="35"/>
  <c r="N37" i="35"/>
  <c r="N45" i="35"/>
  <c r="N53" i="35"/>
  <c r="N47" i="35"/>
  <c r="N38" i="35"/>
  <c r="N46" i="35"/>
  <c r="N39" i="35"/>
  <c r="M31" i="35"/>
  <c r="M32" i="35"/>
  <c r="M33" i="35"/>
  <c r="M41" i="35"/>
  <c r="M49" i="35"/>
  <c r="M51" i="35"/>
  <c r="M34" i="35"/>
  <c r="M42" i="35"/>
  <c r="M50" i="35"/>
  <c r="M43" i="35"/>
  <c r="M53" i="35"/>
  <c r="M35" i="35"/>
  <c r="M36" i="35"/>
  <c r="M44" i="35"/>
  <c r="M52" i="35"/>
  <c r="M37" i="35"/>
  <c r="M45" i="35"/>
  <c r="M38" i="35"/>
  <c r="M46" i="35"/>
  <c r="M48" i="35"/>
  <c r="M39" i="35"/>
  <c r="M47" i="35"/>
  <c r="M40" i="35"/>
  <c r="L31" i="35"/>
  <c r="L32" i="35"/>
  <c r="L40" i="35"/>
  <c r="L48" i="35"/>
  <c r="L47" i="35"/>
  <c r="L33" i="35"/>
  <c r="L41" i="35"/>
  <c r="L49" i="35"/>
  <c r="L34" i="35"/>
  <c r="L42" i="35"/>
  <c r="L50" i="35"/>
  <c r="L45" i="35"/>
  <c r="L35" i="35"/>
  <c r="L43" i="35"/>
  <c r="L51" i="35"/>
  <c r="L53" i="35"/>
  <c r="L36" i="35"/>
  <c r="L44" i="35"/>
  <c r="L52" i="35"/>
  <c r="L37" i="35"/>
  <c r="L38" i="35"/>
  <c r="L46" i="35"/>
  <c r="L39" i="35"/>
  <c r="J31" i="35"/>
  <c r="K40" i="35"/>
  <c r="K33" i="35"/>
  <c r="K41" i="35"/>
  <c r="K49" i="35"/>
  <c r="K43" i="35"/>
  <c r="K51" i="35"/>
  <c r="K44" i="35"/>
  <c r="K39" i="35"/>
  <c r="K34" i="35"/>
  <c r="K42" i="35"/>
  <c r="K50" i="35"/>
  <c r="K35" i="35"/>
  <c r="K36" i="35"/>
  <c r="K52" i="35"/>
  <c r="K47" i="35"/>
  <c r="K48" i="35"/>
  <c r="K45" i="35"/>
  <c r="K53" i="35"/>
  <c r="K38" i="35"/>
  <c r="K46" i="35"/>
  <c r="K31" i="35"/>
  <c r="K32" i="35"/>
  <c r="J32" i="35"/>
  <c r="J40" i="35"/>
  <c r="J48" i="35"/>
  <c r="J33" i="35"/>
  <c r="J41" i="35"/>
  <c r="J49" i="35"/>
  <c r="J47" i="35"/>
  <c r="J34" i="35"/>
  <c r="J42" i="35"/>
  <c r="J50" i="35"/>
  <c r="J39" i="35"/>
  <c r="J35" i="35"/>
  <c r="J43" i="35"/>
  <c r="J51" i="35"/>
  <c r="J36" i="35"/>
  <c r="J44" i="35"/>
  <c r="J52" i="35"/>
  <c r="J46" i="35"/>
  <c r="J37" i="35"/>
  <c r="J45" i="35"/>
  <c r="J53" i="35"/>
  <c r="J38" i="35"/>
  <c r="I31" i="35"/>
  <c r="I39" i="35"/>
  <c r="I46" i="35"/>
  <c r="I52" i="35"/>
  <c r="I38" i="35"/>
  <c r="I45" i="35"/>
  <c r="I53" i="35"/>
  <c r="I32" i="35"/>
  <c r="I40" i="35"/>
  <c r="I47" i="35"/>
  <c r="I43" i="35"/>
  <c r="I36" i="35"/>
  <c r="I44" i="35"/>
  <c r="I51" i="35"/>
  <c r="I33" i="35"/>
  <c r="I41" i="35"/>
  <c r="I48" i="35"/>
  <c r="I37" i="35"/>
  <c r="I34" i="35"/>
  <c r="I42" i="35"/>
  <c r="I49" i="35"/>
  <c r="I35" i="35"/>
  <c r="I50" i="35"/>
  <c r="C31" i="35"/>
  <c r="C39" i="35"/>
  <c r="C46" i="35"/>
  <c r="C40" i="35"/>
  <c r="C47" i="35"/>
  <c r="C42" i="35"/>
  <c r="C52" i="35"/>
  <c r="C53" i="35"/>
  <c r="C32" i="35"/>
  <c r="C33" i="35"/>
  <c r="C41" i="35"/>
  <c r="C48" i="35"/>
  <c r="C49" i="35"/>
  <c r="C34" i="35"/>
  <c r="C35" i="35"/>
  <c r="C43" i="35"/>
  <c r="C50" i="35"/>
  <c r="C44" i="35"/>
  <c r="C51" i="35"/>
  <c r="C45" i="35"/>
  <c r="C36" i="35"/>
  <c r="C37" i="35"/>
  <c r="C38" i="35"/>
  <c r="H31" i="35" a="1"/>
  <c r="H31" i="35" s="1"/>
  <c r="H53" i="35" a="1"/>
  <c r="H53" i="35" s="1"/>
  <c r="H49" i="35" a="1"/>
  <c r="H49" i="35" s="1"/>
  <c r="H45" i="35" a="1"/>
  <c r="H45" i="35" s="1"/>
  <c r="H42" i="35" a="1"/>
  <c r="H42" i="35" s="1"/>
  <c r="H38" i="35" a="1"/>
  <c r="H38" i="35" s="1"/>
  <c r="H34" i="35" a="1"/>
  <c r="H34" i="35" s="1"/>
  <c r="H50" i="35" a="1"/>
  <c r="H50" i="35" s="1"/>
  <c r="H39" i="35" a="1"/>
  <c r="H39" i="35" s="1"/>
  <c r="H52" i="35" a="1"/>
  <c r="H52" i="35" s="1"/>
  <c r="H48" i="35" a="1"/>
  <c r="H48" i="35" s="1"/>
  <c r="H41" i="35" a="1"/>
  <c r="H41" i="35" s="1"/>
  <c r="H37" i="35" a="1"/>
  <c r="H37" i="35" s="1"/>
  <c r="H33" i="35" a="1"/>
  <c r="H33" i="35" s="1"/>
  <c r="H46" i="35" a="1"/>
  <c r="H46" i="35" s="1"/>
  <c r="H35" i="35" a="1"/>
  <c r="H35" i="35" s="1"/>
  <c r="H43" i="35" a="1"/>
  <c r="H43" i="35" s="1"/>
  <c r="H51" i="35" a="1"/>
  <c r="H51" i="35" s="1"/>
  <c r="H47" i="35" a="1"/>
  <c r="H47" i="35" s="1"/>
  <c r="H44" i="35" a="1"/>
  <c r="H44" i="35" s="1"/>
  <c r="H40" i="35" a="1"/>
  <c r="H40" i="35" s="1"/>
  <c r="H36" i="35" a="1"/>
  <c r="H36" i="35" s="1"/>
  <c r="H32" i="35" a="1"/>
  <c r="H32" i="35" s="1"/>
  <c r="G31" i="35" a="1"/>
  <c r="G31" i="35" s="1"/>
  <c r="G53" i="35" a="1"/>
  <c r="G53" i="35" s="1"/>
  <c r="G49" i="35" a="1"/>
  <c r="G49" i="35" s="1"/>
  <c r="G45" i="35" a="1"/>
  <c r="G45" i="35" s="1"/>
  <c r="G42" i="35" a="1"/>
  <c r="G42" i="35" s="1"/>
  <c r="G38" i="35" a="1"/>
  <c r="G38" i="35" s="1"/>
  <c r="G34" i="35" a="1"/>
  <c r="G34" i="35" s="1"/>
  <c r="G52" i="35" a="1"/>
  <c r="G52" i="35" s="1"/>
  <c r="G48" i="35" a="1"/>
  <c r="G48" i="35" s="1"/>
  <c r="G41" i="35" a="1"/>
  <c r="G41" i="35" s="1"/>
  <c r="G37" i="35" a="1"/>
  <c r="G37" i="35" s="1"/>
  <c r="G33" i="35" a="1"/>
  <c r="G33" i="35" s="1"/>
  <c r="G51" i="35" a="1"/>
  <c r="G51" i="35" s="1"/>
  <c r="G47" i="35" a="1"/>
  <c r="G47" i="35" s="1"/>
  <c r="G44" i="35" a="1"/>
  <c r="G44" i="35" s="1"/>
  <c r="G40" i="35" a="1"/>
  <c r="G40" i="35" s="1"/>
  <c r="G36" i="35" a="1"/>
  <c r="G36" i="35" s="1"/>
  <c r="G32" i="35" a="1"/>
  <c r="G32" i="35" s="1"/>
  <c r="G50" i="35" a="1"/>
  <c r="G50" i="35" s="1"/>
  <c r="G46" i="35" a="1"/>
  <c r="G46" i="35" s="1"/>
  <c r="G39" i="35" a="1"/>
  <c r="G39" i="35" s="1"/>
  <c r="G35" i="35" a="1"/>
  <c r="G35" i="35" s="1"/>
  <c r="G43" i="35" a="1"/>
  <c r="G43" i="35" s="1"/>
  <c r="F31" i="35" a="1"/>
  <c r="F31" i="35" s="1"/>
  <c r="F53" i="35" a="1"/>
  <c r="F53" i="35" s="1"/>
  <c r="F49" i="35" a="1"/>
  <c r="F49" i="35" s="1"/>
  <c r="F45" i="35" a="1"/>
  <c r="F45" i="35" s="1"/>
  <c r="F42" i="35" a="1"/>
  <c r="F42" i="35" s="1"/>
  <c r="F38" i="35" a="1"/>
  <c r="F38" i="35" s="1"/>
  <c r="F34" i="35" a="1"/>
  <c r="F34" i="35" s="1"/>
  <c r="F52" i="35" a="1"/>
  <c r="F52" i="35" s="1"/>
  <c r="F48" i="35" a="1"/>
  <c r="F48" i="35" s="1"/>
  <c r="F41" i="35" a="1"/>
  <c r="F41" i="35" s="1"/>
  <c r="F37" i="35" a="1"/>
  <c r="F37" i="35" s="1"/>
  <c r="F33" i="35" a="1"/>
  <c r="F33" i="35" s="1"/>
  <c r="F51" i="35" a="1"/>
  <c r="F51" i="35" s="1"/>
  <c r="F47" i="35" a="1"/>
  <c r="F47" i="35" s="1"/>
  <c r="F44" i="35" a="1"/>
  <c r="F44" i="35" s="1"/>
  <c r="F40" i="35" a="1"/>
  <c r="F40" i="35" s="1"/>
  <c r="F36" i="35" a="1"/>
  <c r="F36" i="35" s="1"/>
  <c r="F32" i="35" a="1"/>
  <c r="F32" i="35" s="1"/>
  <c r="F50" i="35" a="1"/>
  <c r="F50" i="35" s="1"/>
  <c r="F46" i="35" a="1"/>
  <c r="F46" i="35" s="1"/>
  <c r="F43" i="35" a="1"/>
  <c r="F43" i="35" s="1"/>
  <c r="F39" i="35" a="1"/>
  <c r="F39" i="35" s="1"/>
  <c r="F35" i="35" a="1"/>
  <c r="F35" i="35" s="1"/>
  <c r="E31" i="35" a="1"/>
  <c r="E31" i="35" s="1"/>
  <c r="E53" i="35" a="1"/>
  <c r="E53" i="35" s="1"/>
  <c r="E49" i="35" a="1"/>
  <c r="E49" i="35" s="1"/>
  <c r="E45" i="35" a="1"/>
  <c r="E45" i="35" s="1"/>
  <c r="E42" i="35" a="1"/>
  <c r="E42" i="35" s="1"/>
  <c r="E38" i="35" a="1"/>
  <c r="E38" i="35" s="1"/>
  <c r="E34" i="35" a="1"/>
  <c r="E34" i="35" s="1"/>
  <c r="E52" i="35" a="1"/>
  <c r="E52" i="35" s="1"/>
  <c r="E48" i="35" a="1"/>
  <c r="E48" i="35" s="1"/>
  <c r="E41" i="35" a="1"/>
  <c r="E41" i="35" s="1"/>
  <c r="E37" i="35" a="1"/>
  <c r="E37" i="35" s="1"/>
  <c r="E33" i="35" a="1"/>
  <c r="E33" i="35" s="1"/>
  <c r="E51" i="35" a="1"/>
  <c r="E51" i="35" s="1"/>
  <c r="E47" i="35" a="1"/>
  <c r="E47" i="35" s="1"/>
  <c r="E44" i="35" a="1"/>
  <c r="E44" i="35" s="1"/>
  <c r="E40" i="35" a="1"/>
  <c r="E40" i="35" s="1"/>
  <c r="E36" i="35" a="1"/>
  <c r="E36" i="35" s="1"/>
  <c r="E32" i="35" a="1"/>
  <c r="E32" i="35" s="1"/>
  <c r="E50" i="35" a="1"/>
  <c r="E50" i="35" s="1"/>
  <c r="E46" i="35" a="1"/>
  <c r="E46" i="35" s="1"/>
  <c r="E43" i="35" a="1"/>
  <c r="E43" i="35" s="1"/>
  <c r="E39" i="35" a="1"/>
  <c r="E39" i="35" s="1"/>
  <c r="E35" i="35" a="1"/>
  <c r="E35" i="35" s="1"/>
  <c r="D53" i="35" a="1"/>
  <c r="D53" i="35" s="1"/>
  <c r="D49" i="35" a="1"/>
  <c r="D49" i="35" s="1"/>
  <c r="D45" i="35" a="1"/>
  <c r="D45" i="35" s="1"/>
  <c r="D42" i="35" a="1"/>
  <c r="D42" i="35" s="1"/>
  <c r="D38" i="35" a="1"/>
  <c r="D38" i="35" s="1"/>
  <c r="D34" i="35" a="1"/>
  <c r="D34" i="35" s="1"/>
  <c r="D52" i="35" a="1"/>
  <c r="D52" i="35" s="1"/>
  <c r="D48" i="35" a="1"/>
  <c r="D48" i="35" s="1"/>
  <c r="D41" i="35" a="1"/>
  <c r="D41" i="35" s="1"/>
  <c r="D37" i="35" a="1"/>
  <c r="D37" i="35" s="1"/>
  <c r="D33" i="35" a="1"/>
  <c r="D33" i="35" s="1"/>
  <c r="D51" i="35" a="1"/>
  <c r="D51" i="35" s="1"/>
  <c r="D47" i="35" a="1"/>
  <c r="D47" i="35" s="1"/>
  <c r="D44" i="35" a="1"/>
  <c r="D44" i="35" s="1"/>
  <c r="D40" i="35" a="1"/>
  <c r="D40" i="35" s="1"/>
  <c r="D36" i="35" a="1"/>
  <c r="D36" i="35" s="1"/>
  <c r="D32" i="35" a="1"/>
  <c r="D32" i="35" s="1"/>
  <c r="D50" i="35" a="1"/>
  <c r="D50" i="35" s="1"/>
  <c r="D46" i="35" a="1"/>
  <c r="D46" i="35" s="1"/>
  <c r="D43" i="35" a="1"/>
  <c r="D43" i="35" s="1"/>
  <c r="D39" i="35" a="1"/>
  <c r="D39" i="35" s="1"/>
  <c r="D35" i="35" a="1"/>
  <c r="D35" i="35" s="1"/>
  <c r="D31" i="35" a="1"/>
  <c r="D31" i="35" s="1"/>
  <c r="F15" i="33"/>
  <c r="H20" i="31"/>
  <c r="H18" i="31" s="1"/>
  <c r="D49" i="29" s="1"/>
  <c r="D18" i="33"/>
  <c r="I20" i="31"/>
  <c r="C15" i="33"/>
  <c r="G20" i="31"/>
  <c r="G18" i="31" s="1"/>
  <c r="B49" i="29" s="1"/>
  <c r="AM9" i="33" l="1"/>
  <c r="AM10" i="33"/>
  <c r="AO10" i="33" s="1"/>
  <c r="E15" i="33"/>
  <c r="B15" i="33" s="1"/>
  <c r="B9" i="30" s="1"/>
  <c r="I30" i="34" a="1"/>
  <c r="I30" i="34" s="1"/>
  <c r="U9" i="49" a="1"/>
  <c r="U9" i="49" s="1"/>
  <c r="J30" i="34" s="1" a="1"/>
  <c r="J30" i="34" s="1"/>
  <c r="AB9" i="49" a="1"/>
  <c r="AB9" i="49" s="1"/>
  <c r="K30" i="34" s="1" a="1"/>
  <c r="K30" i="34" s="1"/>
  <c r="I24" i="34" a="1"/>
  <c r="I24" i="34" s="1"/>
  <c r="R26" i="49" a="1"/>
  <c r="R26" i="49" s="1"/>
  <c r="J24" i="34" s="1" a="1"/>
  <c r="J24" i="34" s="1"/>
  <c r="Y26" i="49" a="1"/>
  <c r="Y26" i="49" s="1"/>
  <c r="K24" i="34" s="1" a="1"/>
  <c r="K24" i="34" s="1"/>
  <c r="AB11" i="49" a="1"/>
  <c r="AB11" i="49" s="1"/>
  <c r="K32" i="34" s="1" a="1"/>
  <c r="K32" i="34" s="1"/>
  <c r="I32" i="34" a="1"/>
  <c r="I32" i="34" s="1"/>
  <c r="U11" i="49" a="1"/>
  <c r="U11" i="49" s="1"/>
  <c r="J32" i="34" s="1" a="1"/>
  <c r="J32" i="34" s="1"/>
  <c r="AA12" i="49" a="1"/>
  <c r="AA12" i="49" s="1"/>
  <c r="K148" i="34" s="1" a="1"/>
  <c r="K148" i="34" s="1"/>
  <c r="I148" i="34" a="1"/>
  <c r="I148" i="34" s="1"/>
  <c r="T12" i="49" a="1"/>
  <c r="T12" i="49" s="1"/>
  <c r="J148" i="34" s="1" a="1"/>
  <c r="J148" i="34" s="1"/>
  <c r="I9" i="34" a="1"/>
  <c r="I9" i="34" s="1"/>
  <c r="M9" i="34" s="1" a="1"/>
  <c r="M9" i="34" s="1"/>
  <c r="R11" i="49" a="1"/>
  <c r="R11" i="49" s="1"/>
  <c r="J9" i="34" s="1" a="1"/>
  <c r="J9" i="34" s="1"/>
  <c r="Y11" i="49" a="1"/>
  <c r="Y11" i="49" s="1"/>
  <c r="K9" i="34" s="1" a="1"/>
  <c r="K9" i="34" s="1"/>
  <c r="S11" i="49" a="1"/>
  <c r="S11" i="49" s="1"/>
  <c r="J55" i="34" s="1" a="1"/>
  <c r="J55" i="34" s="1"/>
  <c r="I55" i="34" a="1"/>
  <c r="I55" i="34" s="1"/>
  <c r="Z11" i="49" a="1"/>
  <c r="Z11" i="49" s="1"/>
  <c r="K55" i="34" s="1" a="1"/>
  <c r="K55" i="34" s="1"/>
  <c r="I161" i="34" a="1"/>
  <c r="I161" i="34" s="1"/>
  <c r="T25" i="49" a="1"/>
  <c r="T25" i="49" s="1"/>
  <c r="J161" i="34" s="1" a="1"/>
  <c r="J161" i="34" s="1"/>
  <c r="AA25" i="49" a="1"/>
  <c r="AA25" i="49" s="1"/>
  <c r="K161" i="34" s="1" a="1"/>
  <c r="K161" i="34" s="1"/>
  <c r="AA23" i="49" a="1"/>
  <c r="AA23" i="49" s="1"/>
  <c r="K159" i="34" s="1" a="1"/>
  <c r="K159" i="34" s="1"/>
  <c r="I159" i="34" a="1"/>
  <c r="I159" i="34" s="1"/>
  <c r="T23" i="49" a="1"/>
  <c r="T23" i="49" s="1"/>
  <c r="J159" i="34" s="1" a="1"/>
  <c r="J159" i="34" s="1"/>
  <c r="I101" i="34" a="1"/>
  <c r="I101" i="34" s="1"/>
  <c r="AC11" i="49" a="1"/>
  <c r="AC11" i="49" s="1"/>
  <c r="K101" i="34" s="1" a="1"/>
  <c r="K101" i="34" s="1"/>
  <c r="V11" i="49" a="1"/>
  <c r="V11" i="49" s="1"/>
  <c r="J101" i="34" s="1" a="1"/>
  <c r="J101" i="34" s="1"/>
  <c r="I46" i="34" a="1"/>
  <c r="I46" i="34" s="1"/>
  <c r="AB25" i="49" a="1"/>
  <c r="AB25" i="49" s="1"/>
  <c r="K46" i="34" s="1" a="1"/>
  <c r="K46" i="34" s="1"/>
  <c r="U25" i="49" a="1"/>
  <c r="U25" i="49" s="1"/>
  <c r="J46" i="34" s="1" a="1"/>
  <c r="J46" i="34" s="1"/>
  <c r="I86" i="34" a="1"/>
  <c r="I86" i="34" s="1"/>
  <c r="AE19" i="49" a="1"/>
  <c r="AE19" i="49" s="1"/>
  <c r="K86" i="34" s="1" a="1"/>
  <c r="K86" i="34" s="1"/>
  <c r="X19" i="49" a="1"/>
  <c r="X19" i="49" s="1"/>
  <c r="J86" i="34" s="1" a="1"/>
  <c r="J86" i="34" s="1"/>
  <c r="V6" i="49" a="1"/>
  <c r="V6" i="49" s="1"/>
  <c r="J96" i="34" s="1" a="1"/>
  <c r="J96" i="34" s="1"/>
  <c r="I96" i="34" a="1"/>
  <c r="I96" i="34" s="1"/>
  <c r="AC6" i="49" a="1"/>
  <c r="AC6" i="49" s="1"/>
  <c r="K96" i="34" s="1" a="1"/>
  <c r="K96" i="34" s="1"/>
  <c r="I133" i="34" a="1"/>
  <c r="I133" i="34" s="1"/>
  <c r="W20" i="49" a="1"/>
  <c r="W20" i="49" s="1"/>
  <c r="J133" i="34" s="1" a="1"/>
  <c r="J133" i="34" s="1"/>
  <c r="AD20" i="49" a="1"/>
  <c r="AD20" i="49" s="1"/>
  <c r="K133" i="34" s="1" a="1"/>
  <c r="K133" i="34" s="1"/>
  <c r="AB15" i="49" a="1"/>
  <c r="AB15" i="49" s="1"/>
  <c r="K36" i="34" s="1" a="1"/>
  <c r="K36" i="34" s="1"/>
  <c r="I36" i="34" a="1"/>
  <c r="I36" i="34" s="1"/>
  <c r="U15" i="49" a="1"/>
  <c r="U15" i="49" s="1"/>
  <c r="J36" i="34" s="1" a="1"/>
  <c r="J36" i="34" s="1"/>
  <c r="Z21" i="49" a="1"/>
  <c r="Z21" i="49" s="1"/>
  <c r="K65" i="34" s="1" a="1"/>
  <c r="K65" i="34" s="1"/>
  <c r="I65" i="34" a="1"/>
  <c r="I65" i="34" s="1"/>
  <c r="S21" i="49" a="1"/>
  <c r="S21" i="49" s="1"/>
  <c r="J65" i="34" s="1" a="1"/>
  <c r="J65" i="34" s="1"/>
  <c r="X5" i="49" a="1"/>
  <c r="X5" i="49" s="1"/>
  <c r="J72" i="34" s="1" a="1"/>
  <c r="J72" i="34" s="1"/>
  <c r="I72" i="34" a="1"/>
  <c r="I72" i="34" s="1"/>
  <c r="AE5" i="49" a="1"/>
  <c r="AE5" i="49" s="1"/>
  <c r="K72" i="34" s="1" a="1"/>
  <c r="K72" i="34" s="1"/>
  <c r="I7" i="34" a="1"/>
  <c r="I7" i="34" s="1"/>
  <c r="Y9" i="49" a="1"/>
  <c r="Y9" i="49" s="1"/>
  <c r="K7" i="34" s="1" a="1"/>
  <c r="K7" i="34" s="1"/>
  <c r="R9" i="49" a="1"/>
  <c r="R9" i="49" s="1"/>
  <c r="J7" i="34" s="1" a="1"/>
  <c r="J7" i="34" s="1"/>
  <c r="Y18" i="49" a="1"/>
  <c r="Y18" i="49" s="1"/>
  <c r="K16" i="34" s="1" a="1"/>
  <c r="K16" i="34" s="1"/>
  <c r="I16" i="34" a="1"/>
  <c r="I16" i="34" s="1"/>
  <c r="R18" i="49" a="1"/>
  <c r="R18" i="49" s="1"/>
  <c r="J16" i="34" s="1" a="1"/>
  <c r="J16" i="34" s="1"/>
  <c r="I139" i="34" a="1"/>
  <c r="I139" i="34" s="1"/>
  <c r="AD26" i="49" a="1"/>
  <c r="AD26" i="49" s="1"/>
  <c r="K139" i="34" s="1" a="1"/>
  <c r="K139" i="34" s="1"/>
  <c r="W26" i="49" a="1"/>
  <c r="W26" i="49" s="1"/>
  <c r="J139" i="34" s="1" a="1"/>
  <c r="J139" i="34" s="1"/>
  <c r="I102" i="34" a="1"/>
  <c r="I102" i="34" s="1"/>
  <c r="AC12" i="49" a="1"/>
  <c r="AC12" i="49" s="1"/>
  <c r="K102" i="34" s="1" a="1"/>
  <c r="K102" i="34" s="1"/>
  <c r="V12" i="49" a="1"/>
  <c r="V12" i="49" s="1"/>
  <c r="J102" i="34" s="1" a="1"/>
  <c r="J102" i="34" s="1"/>
  <c r="I111" i="34" a="1"/>
  <c r="I111" i="34" s="1"/>
  <c r="AC21" i="49" a="1"/>
  <c r="AC21" i="49" s="1"/>
  <c r="K111" i="34" s="1" a="1"/>
  <c r="K111" i="34" s="1"/>
  <c r="V21" i="49" a="1"/>
  <c r="V21" i="49" s="1"/>
  <c r="J111" i="34" s="1" a="1"/>
  <c r="J111" i="34" s="1"/>
  <c r="AE11" i="49" a="1"/>
  <c r="AE11" i="49" s="1"/>
  <c r="K78" i="34" s="1" a="1"/>
  <c r="K78" i="34" s="1"/>
  <c r="I78" i="34" a="1"/>
  <c r="I78" i="34" s="1"/>
  <c r="X11" i="49" a="1"/>
  <c r="X11" i="49" s="1"/>
  <c r="J78" i="34" s="1" a="1"/>
  <c r="J78" i="34" s="1"/>
  <c r="I87" i="34" a="1"/>
  <c r="I87" i="34" s="1"/>
  <c r="X20" i="49" a="1"/>
  <c r="X20" i="49" s="1"/>
  <c r="J87" i="34" s="1" a="1"/>
  <c r="J87" i="34" s="1"/>
  <c r="AE20" i="49" a="1"/>
  <c r="AE20" i="49" s="1"/>
  <c r="K87" i="34" s="1" a="1"/>
  <c r="K87" i="34" s="1"/>
  <c r="I90" i="34" a="1"/>
  <c r="I90" i="34" s="1"/>
  <c r="X23" i="49" a="1"/>
  <c r="X23" i="49" s="1"/>
  <c r="J90" i="34" s="1" a="1"/>
  <c r="J90" i="34" s="1"/>
  <c r="AE23" i="49" a="1"/>
  <c r="AE23" i="49" s="1"/>
  <c r="K90" i="34" s="1" a="1"/>
  <c r="K90" i="34" s="1"/>
  <c r="S5" i="49" a="1"/>
  <c r="S5" i="49" s="1"/>
  <c r="J49" i="34" s="1" a="1"/>
  <c r="J49" i="34" s="1"/>
  <c r="I49" i="34" a="1"/>
  <c r="I49" i="34" s="1"/>
  <c r="Z5" i="49" a="1"/>
  <c r="Z5" i="49" s="1"/>
  <c r="K49" i="34" s="1" a="1"/>
  <c r="K49" i="34" s="1"/>
  <c r="AE16" i="49" a="1"/>
  <c r="AE16" i="49" s="1"/>
  <c r="K83" i="34" s="1" a="1"/>
  <c r="K83" i="34" s="1"/>
  <c r="I83" i="34" a="1"/>
  <c r="I83" i="34" s="1"/>
  <c r="X16" i="49" a="1"/>
  <c r="X16" i="49" s="1"/>
  <c r="J83" i="34" s="1" a="1"/>
  <c r="J83" i="34" s="1"/>
  <c r="AD17" i="49" a="1"/>
  <c r="AD17" i="49" s="1"/>
  <c r="K130" i="34" s="1" a="1"/>
  <c r="K130" i="34" s="1"/>
  <c r="I130" i="34" a="1"/>
  <c r="I130" i="34" s="1"/>
  <c r="W17" i="49" a="1"/>
  <c r="W17" i="49" s="1"/>
  <c r="J130" i="34" s="1" a="1"/>
  <c r="J130" i="34" s="1"/>
  <c r="AB16" i="49" a="1"/>
  <c r="AB16" i="49" s="1"/>
  <c r="K37" i="34" s="1" a="1"/>
  <c r="K37" i="34" s="1"/>
  <c r="I37" i="34" a="1"/>
  <c r="I37" i="34" s="1"/>
  <c r="U16" i="49" a="1"/>
  <c r="U16" i="49" s="1"/>
  <c r="J37" i="34" s="1" a="1"/>
  <c r="J37" i="34" s="1"/>
  <c r="Z13" i="49" a="1"/>
  <c r="Z13" i="49" s="1"/>
  <c r="K57" i="34" s="1" a="1"/>
  <c r="K57" i="34" s="1"/>
  <c r="I57" i="34" a="1"/>
  <c r="I57" i="34" s="1"/>
  <c r="S13" i="49" a="1"/>
  <c r="S13" i="49" s="1"/>
  <c r="J57" i="34" s="1" a="1"/>
  <c r="J57" i="34" s="1"/>
  <c r="I17" i="34" a="1"/>
  <c r="I17" i="34" s="1"/>
  <c r="Y19" i="49" a="1"/>
  <c r="Y19" i="49" s="1"/>
  <c r="K17" i="34" s="1" a="1"/>
  <c r="K17" i="34" s="1"/>
  <c r="R19" i="49" a="1"/>
  <c r="R19" i="49" s="1"/>
  <c r="J17" i="34" s="1" a="1"/>
  <c r="J17" i="34" s="1"/>
  <c r="I50" i="34" a="1"/>
  <c r="I50" i="34" s="1"/>
  <c r="Z6" i="49" a="1"/>
  <c r="Z6" i="49" s="1"/>
  <c r="K50" i="34" s="1" a="1"/>
  <c r="K50" i="34" s="1"/>
  <c r="S6" i="49" a="1"/>
  <c r="S6" i="49" s="1"/>
  <c r="J50" i="34" s="1" a="1"/>
  <c r="J50" i="34" s="1"/>
  <c r="I149" i="34" a="1"/>
  <c r="I149" i="34" s="1"/>
  <c r="T13" i="49" a="1"/>
  <c r="T13" i="49" s="1"/>
  <c r="J149" i="34" s="1" a="1"/>
  <c r="J149" i="34" s="1"/>
  <c r="AA13" i="49" a="1"/>
  <c r="AA13" i="49" s="1"/>
  <c r="K149" i="34" s="1" a="1"/>
  <c r="K149" i="34" s="1"/>
  <c r="Y21" i="49" a="1"/>
  <c r="Y21" i="49" s="1"/>
  <c r="K19" i="34" s="1" a="1"/>
  <c r="K19" i="34" s="1"/>
  <c r="I19" i="34" a="1"/>
  <c r="I19" i="34" s="1"/>
  <c r="R21" i="49" a="1"/>
  <c r="R21" i="49" s="1"/>
  <c r="J19" i="34" s="1" a="1"/>
  <c r="J19" i="34" s="1"/>
  <c r="I116" i="34" a="1"/>
  <c r="I116" i="34" s="1"/>
  <c r="V26" i="49" a="1"/>
  <c r="V26" i="49" s="1"/>
  <c r="J116" i="34" s="1" a="1"/>
  <c r="J116" i="34" s="1"/>
  <c r="AC26" i="49" a="1"/>
  <c r="AC26" i="49" s="1"/>
  <c r="K116" i="34" s="1" a="1"/>
  <c r="K116" i="34" s="1"/>
  <c r="I144" i="34" a="1"/>
  <c r="I144" i="34" s="1"/>
  <c r="AA8" i="49" a="1"/>
  <c r="AA8" i="49" s="1"/>
  <c r="K144" i="34" s="1" a="1"/>
  <c r="K144" i="34" s="1"/>
  <c r="T8" i="49" a="1"/>
  <c r="T8" i="49" s="1"/>
  <c r="J144" i="34" s="1" a="1"/>
  <c r="J144" i="34" s="1"/>
  <c r="AA22" i="49" a="1"/>
  <c r="AA22" i="49" s="1"/>
  <c r="K158" i="34" s="1" a="1"/>
  <c r="K158" i="34" s="1"/>
  <c r="I158" i="34" a="1"/>
  <c r="I158" i="34" s="1"/>
  <c r="T22" i="49" a="1"/>
  <c r="T22" i="49" s="1"/>
  <c r="J158" i="34" s="1" a="1"/>
  <c r="J158" i="34" s="1"/>
  <c r="V8" i="49" a="1"/>
  <c r="V8" i="49" s="1"/>
  <c r="J98" i="34" s="1" a="1"/>
  <c r="J98" i="34" s="1"/>
  <c r="I98" i="34" a="1"/>
  <c r="I98" i="34" s="1"/>
  <c r="AC8" i="49" a="1"/>
  <c r="AC8" i="49" s="1"/>
  <c r="K98" i="34" s="1" a="1"/>
  <c r="K98" i="34" s="1"/>
  <c r="AE22" i="49" a="1"/>
  <c r="AE22" i="49" s="1"/>
  <c r="K89" i="34" s="1" a="1"/>
  <c r="K89" i="34" s="1"/>
  <c r="I89" i="34" a="1"/>
  <c r="I89" i="34" s="1"/>
  <c r="X22" i="49" a="1"/>
  <c r="X22" i="49" s="1"/>
  <c r="J89" i="34" s="1" a="1"/>
  <c r="J89" i="34" s="1"/>
  <c r="I157" i="34" a="1"/>
  <c r="I157" i="34" s="1"/>
  <c r="T21" i="49" a="1"/>
  <c r="T21" i="49" s="1"/>
  <c r="J157" i="34" s="1" a="1"/>
  <c r="J157" i="34" s="1"/>
  <c r="AA21" i="49" a="1"/>
  <c r="AA21" i="49" s="1"/>
  <c r="K157" i="34" s="1" a="1"/>
  <c r="K157" i="34" s="1"/>
  <c r="I54" i="34" a="1"/>
  <c r="I54" i="34" s="1"/>
  <c r="S10" i="49" a="1"/>
  <c r="S10" i="49" s="1"/>
  <c r="J54" i="34" s="1" a="1"/>
  <c r="J54" i="34" s="1"/>
  <c r="Z10" i="49" a="1"/>
  <c r="Z10" i="49" s="1"/>
  <c r="K54" i="34" s="1" a="1"/>
  <c r="K54" i="34" s="1"/>
  <c r="Z19" i="49" a="1"/>
  <c r="Z19" i="49" s="1"/>
  <c r="K63" i="34" s="1" a="1"/>
  <c r="K63" i="34" s="1"/>
  <c r="I63" i="34" a="1"/>
  <c r="I63" i="34" s="1"/>
  <c r="S19" i="49" a="1"/>
  <c r="S19" i="49" s="1"/>
  <c r="J63" i="34" s="1" a="1"/>
  <c r="J63" i="34" s="1"/>
  <c r="AC4" i="49" a="1"/>
  <c r="AC4" i="49" s="1"/>
  <c r="K94" i="34" s="1" a="1"/>
  <c r="K94" i="34" s="1"/>
  <c r="I94" i="34" a="1"/>
  <c r="I94" i="34" s="1"/>
  <c r="V4" i="49" a="1"/>
  <c r="V4" i="49" s="1"/>
  <c r="J94" i="34" s="1" a="1"/>
  <c r="J94" i="34" s="1"/>
  <c r="AD13" i="49" a="1"/>
  <c r="AD13" i="49" s="1"/>
  <c r="K126" i="34" s="1" a="1"/>
  <c r="K126" i="34" s="1"/>
  <c r="I126" i="34" a="1"/>
  <c r="I126" i="34" s="1"/>
  <c r="W13" i="49" a="1"/>
  <c r="W13" i="49" s="1"/>
  <c r="J126" i="34" s="1" a="1"/>
  <c r="J126" i="34" s="1"/>
  <c r="AC22" i="49" a="1"/>
  <c r="AC22" i="49" s="1"/>
  <c r="K112" i="34" s="1" a="1"/>
  <c r="K112" i="34" s="1"/>
  <c r="I112" i="34" a="1"/>
  <c r="I112" i="34" s="1"/>
  <c r="V22" i="49" a="1"/>
  <c r="V22" i="49" s="1"/>
  <c r="J112" i="34" s="1" a="1"/>
  <c r="J112" i="34" s="1"/>
  <c r="I11" i="34" a="1"/>
  <c r="I11" i="34" s="1"/>
  <c r="Y13" i="49" a="1"/>
  <c r="Y13" i="49" s="1"/>
  <c r="K11" i="34" s="1" a="1"/>
  <c r="K11" i="34" s="1"/>
  <c r="R13" i="49" a="1"/>
  <c r="R13" i="49" s="1"/>
  <c r="J11" i="34" s="1" a="1"/>
  <c r="J11" i="34" s="1"/>
  <c r="I21" i="34" a="1"/>
  <c r="I21" i="34" s="1"/>
  <c r="Y23" i="49" a="1"/>
  <c r="Y23" i="49" s="1"/>
  <c r="K21" i="34" s="1" a="1"/>
  <c r="K21" i="34" s="1"/>
  <c r="R23" i="49" a="1"/>
  <c r="R23" i="49" s="1"/>
  <c r="J21" i="34" s="1" a="1"/>
  <c r="J21" i="34" s="1"/>
  <c r="R24" i="49" a="1"/>
  <c r="R24" i="49" s="1"/>
  <c r="J22" i="34" s="1" a="1"/>
  <c r="J22" i="34" s="1"/>
  <c r="I22" i="34" a="1"/>
  <c r="I22" i="34" s="1"/>
  <c r="Y24" i="49" a="1"/>
  <c r="Y24" i="49" s="1"/>
  <c r="K22" i="34" s="1" a="1"/>
  <c r="K22" i="34" s="1"/>
  <c r="I115" i="34" a="1"/>
  <c r="I115" i="34" s="1"/>
  <c r="V25" i="49" a="1"/>
  <c r="V25" i="49" s="1"/>
  <c r="J115" i="34" s="1" a="1"/>
  <c r="J115" i="34" s="1"/>
  <c r="AC25" i="49" a="1"/>
  <c r="AC25" i="49" s="1"/>
  <c r="K115" i="34" s="1" a="1"/>
  <c r="K115" i="34" s="1"/>
  <c r="I67" i="34" a="1"/>
  <c r="I67" i="34" s="1"/>
  <c r="S23" i="49" a="1"/>
  <c r="S23" i="49" s="1"/>
  <c r="J67" i="34" s="1" a="1"/>
  <c r="J67" i="34" s="1"/>
  <c r="Z23" i="49" a="1"/>
  <c r="Z23" i="49" s="1"/>
  <c r="K67" i="34" s="1" a="1"/>
  <c r="K67" i="34" s="1"/>
  <c r="AE21" i="49" a="1"/>
  <c r="AE21" i="49" s="1"/>
  <c r="K88" i="34" s="1" a="1"/>
  <c r="K88" i="34" s="1"/>
  <c r="I88" i="34" a="1"/>
  <c r="I88" i="34" s="1"/>
  <c r="X21" i="49" a="1"/>
  <c r="X21" i="49" s="1"/>
  <c r="J88" i="34" s="1" a="1"/>
  <c r="J88" i="34" s="1"/>
  <c r="I81" i="34" a="1"/>
  <c r="I81" i="34" s="1"/>
  <c r="AE14" i="49" a="1"/>
  <c r="AE14" i="49" s="1"/>
  <c r="K81" i="34" s="1" a="1"/>
  <c r="K81" i="34" s="1"/>
  <c r="X14" i="49" a="1"/>
  <c r="X14" i="49" s="1"/>
  <c r="J81" i="34" s="1" a="1"/>
  <c r="J81" i="34" s="1"/>
  <c r="AC10" i="49" a="1"/>
  <c r="AC10" i="49" s="1"/>
  <c r="K100" i="34" s="1" a="1"/>
  <c r="K100" i="34" s="1"/>
  <c r="I100" i="34" a="1"/>
  <c r="I100" i="34" s="1"/>
  <c r="V10" i="49" a="1"/>
  <c r="V10" i="49" s="1"/>
  <c r="J100" i="34" s="1" a="1"/>
  <c r="J100" i="34" s="1"/>
  <c r="I79" i="34" a="1"/>
  <c r="I79" i="34" s="1"/>
  <c r="AE12" i="49" a="1"/>
  <c r="AE12" i="49" s="1"/>
  <c r="K79" i="34" s="1" a="1"/>
  <c r="K79" i="34" s="1"/>
  <c r="X12" i="49" a="1"/>
  <c r="X12" i="49" s="1"/>
  <c r="J79" i="34" s="1" a="1"/>
  <c r="J79" i="34" s="1"/>
  <c r="Y15" i="49" a="1"/>
  <c r="Y15" i="49" s="1"/>
  <c r="K13" i="34" s="1" a="1"/>
  <c r="K13" i="34" s="1"/>
  <c r="I13" i="34" a="1"/>
  <c r="I13" i="34" s="1"/>
  <c r="R15" i="49" a="1"/>
  <c r="R15" i="49" s="1"/>
  <c r="J13" i="34" s="1" a="1"/>
  <c r="J13" i="34" s="1"/>
  <c r="AB5" i="49" a="1"/>
  <c r="AB5" i="49" s="1"/>
  <c r="K26" i="34" s="1" a="1"/>
  <c r="K26" i="34" s="1"/>
  <c r="I26" i="34" a="1"/>
  <c r="I26" i="34" s="1"/>
  <c r="U5" i="49" a="1"/>
  <c r="U5" i="49" s="1"/>
  <c r="J26" i="34" s="1" a="1"/>
  <c r="J26" i="34" s="1"/>
  <c r="AD4" i="49" a="1"/>
  <c r="AD4" i="49" s="1"/>
  <c r="K117" i="34" s="1" a="1"/>
  <c r="K117" i="34" s="1"/>
  <c r="I117" i="34" a="1"/>
  <c r="I117" i="34" s="1"/>
  <c r="W4" i="49" a="1"/>
  <c r="W4" i="49" s="1"/>
  <c r="J117" i="34" s="1" a="1"/>
  <c r="J117" i="34" s="1"/>
  <c r="I76" i="34" a="1"/>
  <c r="I76" i="34" s="1"/>
  <c r="X9" i="49" a="1"/>
  <c r="X9" i="49" s="1"/>
  <c r="J76" i="34" s="1" a="1"/>
  <c r="J76" i="34" s="1"/>
  <c r="AE9" i="49" a="1"/>
  <c r="AE9" i="49" s="1"/>
  <c r="K76" i="34" s="1" a="1"/>
  <c r="K76" i="34" s="1"/>
  <c r="AE25" i="49" a="1"/>
  <c r="AE25" i="49" s="1"/>
  <c r="K92" i="34" s="1" a="1"/>
  <c r="K92" i="34" s="1"/>
  <c r="I92" i="34" a="1"/>
  <c r="I92" i="34" s="1"/>
  <c r="X25" i="49" a="1"/>
  <c r="X25" i="49" s="1"/>
  <c r="J92" i="34" s="1" a="1"/>
  <c r="J92" i="34" s="1"/>
  <c r="U10" i="49" a="1"/>
  <c r="U10" i="49" s="1"/>
  <c r="J31" i="34" s="1" a="1"/>
  <c r="J31" i="34" s="1"/>
  <c r="I31" i="34" a="1"/>
  <c r="I31" i="34" s="1"/>
  <c r="AB10" i="49" a="1"/>
  <c r="AB10" i="49" s="1"/>
  <c r="K31" i="34" s="1" a="1"/>
  <c r="K31" i="34" s="1"/>
  <c r="I45" i="34" a="1"/>
  <c r="I45" i="34" s="1"/>
  <c r="AB24" i="49" a="1"/>
  <c r="AB24" i="49" s="1"/>
  <c r="K45" i="34" s="1" a="1"/>
  <c r="K45" i="34" s="1"/>
  <c r="U24" i="49" a="1"/>
  <c r="U24" i="49" s="1"/>
  <c r="J45" i="34" s="1" a="1"/>
  <c r="J45" i="34" s="1"/>
  <c r="AD12" i="49" a="1"/>
  <c r="AD12" i="49" s="1"/>
  <c r="K125" i="34" s="1" a="1"/>
  <c r="K125" i="34" s="1"/>
  <c r="I125" i="34" a="1"/>
  <c r="I125" i="34" s="1"/>
  <c r="W12" i="49" a="1"/>
  <c r="W12" i="49" s="1"/>
  <c r="J125" i="34" s="1" a="1"/>
  <c r="J125" i="34" s="1"/>
  <c r="I147" i="34" a="1"/>
  <c r="I147" i="34" s="1"/>
  <c r="AA11" i="49" a="1"/>
  <c r="AA11" i="49" s="1"/>
  <c r="K147" i="34" s="1" a="1"/>
  <c r="K147" i="34" s="1"/>
  <c r="J147" i="34" a="1"/>
  <c r="J147" i="34" s="1"/>
  <c r="AA20" i="49" a="1"/>
  <c r="AA20" i="49" s="1"/>
  <c r="K156" i="34" s="1" a="1"/>
  <c r="K156" i="34" s="1"/>
  <c r="I156" i="34" a="1"/>
  <c r="I156" i="34" s="1"/>
  <c r="T20" i="49" a="1"/>
  <c r="T20" i="49" s="1"/>
  <c r="J156" i="34" s="1" a="1"/>
  <c r="J156" i="34" s="1"/>
  <c r="AD5" i="49" a="1"/>
  <c r="AD5" i="49" s="1"/>
  <c r="K118" i="34" s="1" a="1"/>
  <c r="K118" i="34" s="1"/>
  <c r="I118" i="34" a="1"/>
  <c r="I118" i="34" s="1"/>
  <c r="W5" i="49" a="1"/>
  <c r="W5" i="49" s="1"/>
  <c r="J118" i="34" s="1" a="1"/>
  <c r="J118" i="34" s="1"/>
  <c r="I127" i="34" a="1"/>
  <c r="I127" i="34" s="1"/>
  <c r="W14" i="49" a="1"/>
  <c r="W14" i="49" s="1"/>
  <c r="J127" i="34" s="1" a="1"/>
  <c r="J127" i="34" s="1"/>
  <c r="AD14" i="49" a="1"/>
  <c r="AD14" i="49" s="1"/>
  <c r="K127" i="34" s="1" a="1"/>
  <c r="K127" i="34" s="1"/>
  <c r="AD23" i="49" a="1"/>
  <c r="AD23" i="49" s="1"/>
  <c r="K136" i="34" s="1" a="1"/>
  <c r="K136" i="34" s="1"/>
  <c r="I136" i="34" a="1"/>
  <c r="I136" i="34" s="1"/>
  <c r="W23" i="49" a="1"/>
  <c r="W23" i="49" s="1"/>
  <c r="J136" i="34" s="1" a="1"/>
  <c r="J136" i="34" s="1"/>
  <c r="I12" i="34" a="1"/>
  <c r="I12" i="34" s="1"/>
  <c r="R14" i="49" a="1"/>
  <c r="R14" i="49" s="1"/>
  <c r="J12" i="34" s="1" a="1"/>
  <c r="J12" i="34" s="1"/>
  <c r="Y14" i="49" a="1"/>
  <c r="Y14" i="49" s="1"/>
  <c r="K12" i="34" s="1" a="1"/>
  <c r="K12" i="34" s="1"/>
  <c r="Z24" i="49" a="1"/>
  <c r="Z24" i="49" s="1"/>
  <c r="K68" i="34" s="1" a="1"/>
  <c r="K68" i="34" s="1"/>
  <c r="I68" i="34" a="1"/>
  <c r="I68" i="34" s="1"/>
  <c r="S24" i="49" a="1"/>
  <c r="S24" i="49" s="1"/>
  <c r="J68" i="34" s="1" a="1"/>
  <c r="J68" i="34" s="1"/>
  <c r="I60" i="34" a="1"/>
  <c r="I60" i="34" s="1"/>
  <c r="S16" i="49" a="1"/>
  <c r="S16" i="49" s="1"/>
  <c r="J60" i="34" s="1" a="1"/>
  <c r="J60" i="34" s="1"/>
  <c r="Z16" i="49" a="1"/>
  <c r="Z16" i="49" s="1"/>
  <c r="K60" i="34" s="1" a="1"/>
  <c r="K60" i="34" s="1"/>
  <c r="I40" i="34" a="1"/>
  <c r="I40" i="34" s="1"/>
  <c r="U19" i="49" a="1"/>
  <c r="U19" i="49" s="1"/>
  <c r="J40" i="34" s="1" a="1"/>
  <c r="J40" i="34" s="1"/>
  <c r="AB19" i="49" a="1"/>
  <c r="AB19" i="49" s="1"/>
  <c r="K40" i="34" s="1" a="1"/>
  <c r="K40" i="34" s="1"/>
  <c r="I132" i="34" a="1"/>
  <c r="I132" i="34" s="1"/>
  <c r="W19" i="49" a="1"/>
  <c r="W19" i="49" s="1"/>
  <c r="J132" i="34" s="1" a="1"/>
  <c r="J132" i="34" s="1"/>
  <c r="AD19" i="49" a="1"/>
  <c r="AD19" i="49" s="1"/>
  <c r="K132" i="34" s="1" a="1"/>
  <c r="K132" i="34" s="1"/>
  <c r="I140" i="34" a="1"/>
  <c r="I140" i="34" s="1"/>
  <c r="AA4" i="49" a="1"/>
  <c r="AA4" i="49" s="1"/>
  <c r="K140" i="34" s="1" a="1"/>
  <c r="K140" i="34" s="1"/>
  <c r="T4" i="49" a="1"/>
  <c r="T4" i="49" s="1"/>
  <c r="J140" i="34" s="1" a="1"/>
  <c r="J140" i="34" s="1"/>
  <c r="I2" i="34" a="1"/>
  <c r="I2" i="34" s="1"/>
  <c r="Y4" i="49" a="1"/>
  <c r="Y4" i="49" s="1"/>
  <c r="K2" i="34" s="1" a="1"/>
  <c r="K2" i="34" s="1"/>
  <c r="J2" i="34" a="1"/>
  <c r="J2" i="34" s="1"/>
  <c r="AC16" i="49" a="1"/>
  <c r="AC16" i="49" s="1"/>
  <c r="K106" i="34" s="1" a="1"/>
  <c r="K106" i="34" s="1"/>
  <c r="I106" i="34" a="1"/>
  <c r="I106" i="34" s="1"/>
  <c r="V16" i="49" a="1"/>
  <c r="V16" i="49" s="1"/>
  <c r="J106" i="34" s="1" a="1"/>
  <c r="J106" i="34" s="1"/>
  <c r="Y16" i="49" a="1"/>
  <c r="Y16" i="49" s="1"/>
  <c r="K14" i="34" s="1" a="1"/>
  <c r="K14" i="34" s="1"/>
  <c r="I14" i="34" a="1"/>
  <c r="I14" i="34" s="1"/>
  <c r="R16" i="49" a="1"/>
  <c r="R16" i="49" s="1"/>
  <c r="J14" i="34" s="1" a="1"/>
  <c r="J14" i="34" s="1"/>
  <c r="AA18" i="49" a="1"/>
  <c r="AA18" i="49" s="1"/>
  <c r="K154" i="34" s="1" a="1"/>
  <c r="K154" i="34" s="1"/>
  <c r="I154" i="34" a="1"/>
  <c r="I154" i="34" s="1"/>
  <c r="T18" i="49" a="1"/>
  <c r="T18" i="49" s="1"/>
  <c r="J154" i="34" s="1" a="1"/>
  <c r="J154" i="34" s="1"/>
  <c r="I129" i="34" a="1"/>
  <c r="I129" i="34" s="1"/>
  <c r="W16" i="49" a="1"/>
  <c r="W16" i="49" s="1"/>
  <c r="J129" i="34" s="1" a="1"/>
  <c r="J129" i="34" s="1"/>
  <c r="AD16" i="49" a="1"/>
  <c r="AD16" i="49" s="1"/>
  <c r="K129" i="34" s="1" a="1"/>
  <c r="K129" i="34" s="1"/>
  <c r="AD8" i="49" a="1"/>
  <c r="AD8" i="49" s="1"/>
  <c r="K121" i="34" s="1" a="1"/>
  <c r="K121" i="34" s="1"/>
  <c r="I121" i="34" a="1"/>
  <c r="I121" i="34" s="1"/>
  <c r="W8" i="49" a="1"/>
  <c r="W8" i="49" s="1"/>
  <c r="J121" i="34" s="1" a="1"/>
  <c r="J121" i="34" s="1"/>
  <c r="I145" i="34" a="1"/>
  <c r="I145" i="34" s="1"/>
  <c r="T9" i="49" a="1"/>
  <c r="T9" i="49" s="1"/>
  <c r="J145" i="34" s="1" a="1"/>
  <c r="J145" i="34" s="1"/>
  <c r="AA9" i="49" a="1"/>
  <c r="AA9" i="49" s="1"/>
  <c r="K145" i="34" s="1" a="1"/>
  <c r="K145" i="34" s="1"/>
  <c r="I124" i="34" a="1"/>
  <c r="I124" i="34" s="1"/>
  <c r="AD11" i="49" a="1"/>
  <c r="AD11" i="49" s="1"/>
  <c r="K124" i="34" s="1" a="1"/>
  <c r="K124" i="34" s="1"/>
  <c r="W11" i="49" a="1"/>
  <c r="W11" i="49" s="1"/>
  <c r="J124" i="34" s="1" a="1"/>
  <c r="J124" i="34" s="1"/>
  <c r="I5" i="34" a="1"/>
  <c r="I5" i="34" s="1"/>
  <c r="Y7" i="49" a="1"/>
  <c r="Y7" i="49" s="1"/>
  <c r="K5" i="34" s="1" a="1"/>
  <c r="K5" i="34" s="1"/>
  <c r="J5" i="34" a="1"/>
  <c r="J5" i="34" s="1"/>
  <c r="I56" i="34" a="1"/>
  <c r="I56" i="34" s="1"/>
  <c r="S12" i="49" a="1"/>
  <c r="S12" i="49" s="1"/>
  <c r="J56" i="34" s="1" a="1"/>
  <c r="J56" i="34" s="1"/>
  <c r="Z12" i="49" a="1"/>
  <c r="Z12" i="49" s="1"/>
  <c r="K56" i="34" s="1" a="1"/>
  <c r="K56" i="34" s="1"/>
  <c r="AA26" i="49" a="1"/>
  <c r="AA26" i="49" s="1"/>
  <c r="K162" i="34" s="1" a="1"/>
  <c r="K162" i="34" s="1"/>
  <c r="I162" i="34" a="1"/>
  <c r="I162" i="34" s="1"/>
  <c r="T26" i="49" a="1"/>
  <c r="T26" i="49" s="1"/>
  <c r="J162" i="34" s="1" a="1"/>
  <c r="J162" i="34" s="1"/>
  <c r="I23" i="34" a="1"/>
  <c r="I23" i="34" s="1"/>
  <c r="R25" i="49" a="1"/>
  <c r="R25" i="49" s="1"/>
  <c r="J23" i="34" s="1" a="1"/>
  <c r="J23" i="34" s="1"/>
  <c r="Y25" i="49" a="1"/>
  <c r="Y25" i="49" s="1"/>
  <c r="K23" i="34" s="1" a="1"/>
  <c r="K23" i="34" s="1"/>
  <c r="AB12" i="49" a="1"/>
  <c r="AB12" i="49" s="1"/>
  <c r="K33" i="34" s="1" a="1"/>
  <c r="K33" i="34" s="1"/>
  <c r="I33" i="34" a="1"/>
  <c r="I33" i="34" s="1"/>
  <c r="U12" i="49" a="1"/>
  <c r="U12" i="49" s="1"/>
  <c r="J33" i="34" s="1" a="1"/>
  <c r="J33" i="34" s="1"/>
  <c r="AB21" i="49" a="1"/>
  <c r="AB21" i="49" s="1"/>
  <c r="K42" i="34" s="1" a="1"/>
  <c r="K42" i="34" s="1"/>
  <c r="I42" i="34" a="1"/>
  <c r="I42" i="34" s="1"/>
  <c r="U21" i="49" a="1"/>
  <c r="U21" i="49" s="1"/>
  <c r="J42" i="34" s="1" a="1"/>
  <c r="J42" i="34" s="1"/>
  <c r="AE6" i="49" a="1"/>
  <c r="AE6" i="49" s="1"/>
  <c r="K73" i="34" s="1" a="1"/>
  <c r="K73" i="34" s="1"/>
  <c r="I73" i="34" a="1"/>
  <c r="I73" i="34" s="1"/>
  <c r="X6" i="49" a="1"/>
  <c r="X6" i="49" s="1"/>
  <c r="J73" i="34" s="1" a="1"/>
  <c r="J73" i="34" s="1"/>
  <c r="I82" i="34" a="1"/>
  <c r="I82" i="34" s="1"/>
  <c r="X15" i="49" a="1"/>
  <c r="X15" i="49" s="1"/>
  <c r="J82" i="34" s="1" a="1"/>
  <c r="J82" i="34" s="1"/>
  <c r="AE15" i="49" a="1"/>
  <c r="AE15" i="49" s="1"/>
  <c r="K82" i="34" s="1" a="1"/>
  <c r="K82" i="34" s="1"/>
  <c r="W24" i="49" a="1"/>
  <c r="W24" i="49" s="1"/>
  <c r="J137" i="34" s="1" a="1"/>
  <c r="J137" i="34" s="1"/>
  <c r="I137" i="34" a="1"/>
  <c r="I137" i="34" s="1"/>
  <c r="AD24" i="49" a="1"/>
  <c r="AD24" i="49" s="1"/>
  <c r="K137" i="34" s="1" a="1"/>
  <c r="K137" i="34" s="1"/>
  <c r="I59" i="34" a="1"/>
  <c r="I59" i="34" s="1"/>
  <c r="Z15" i="49" a="1"/>
  <c r="Z15" i="49" s="1"/>
  <c r="K59" i="34" s="1" a="1"/>
  <c r="K59" i="34" s="1"/>
  <c r="S15" i="49" a="1"/>
  <c r="S15" i="49" s="1"/>
  <c r="J59" i="34" s="1" a="1"/>
  <c r="J59" i="34" s="1"/>
  <c r="Z25" i="49" a="1"/>
  <c r="Z25" i="49" s="1"/>
  <c r="K69" i="34" s="1" a="1"/>
  <c r="K69" i="34" s="1"/>
  <c r="I69" i="34" a="1"/>
  <c r="I69" i="34" s="1"/>
  <c r="S25" i="49" a="1"/>
  <c r="S25" i="49" s="1"/>
  <c r="J69" i="34" s="1" a="1"/>
  <c r="J69" i="34" s="1"/>
  <c r="W9" i="49" a="1"/>
  <c r="W9" i="49" s="1"/>
  <c r="J122" i="34" s="1" a="1"/>
  <c r="J122" i="34" s="1"/>
  <c r="I122" i="34" a="1"/>
  <c r="I122" i="34" s="1"/>
  <c r="AD9" i="49" a="1"/>
  <c r="AD9" i="49" s="1"/>
  <c r="K122" i="34" s="1" a="1"/>
  <c r="K122" i="34" s="1"/>
  <c r="Y10" i="49" a="1"/>
  <c r="Y10" i="49" s="1"/>
  <c r="K8" i="34" s="1" a="1"/>
  <c r="K8" i="34" s="1"/>
  <c r="I8" i="34" a="1"/>
  <c r="I8" i="34" s="1"/>
  <c r="R10" i="49" a="1"/>
  <c r="R10" i="49" s="1"/>
  <c r="J8" i="34" s="1" a="1"/>
  <c r="J8" i="34" s="1"/>
  <c r="I123" i="34" a="1"/>
  <c r="I123" i="34" s="1"/>
  <c r="AD10" i="49" a="1"/>
  <c r="AD10" i="49" s="1"/>
  <c r="K123" i="34" s="1" a="1"/>
  <c r="K123" i="34" s="1"/>
  <c r="W10" i="49" a="1"/>
  <c r="W10" i="49" s="1"/>
  <c r="J123" i="34" s="1" a="1"/>
  <c r="J123" i="34" s="1"/>
  <c r="I141" i="34" a="1"/>
  <c r="I141" i="34" s="1"/>
  <c r="T5" i="49" a="1"/>
  <c r="T5" i="49" s="1"/>
  <c r="J141" i="34" s="1" a="1"/>
  <c r="J141" i="34" s="1"/>
  <c r="AA5" i="49" a="1"/>
  <c r="AA5" i="49" s="1"/>
  <c r="K141" i="34" s="1" a="1"/>
  <c r="K141" i="34" s="1"/>
  <c r="X8" i="49" a="1"/>
  <c r="X8" i="49" s="1"/>
  <c r="J75" i="34" s="1" a="1"/>
  <c r="J75" i="34" s="1"/>
  <c r="I75" i="34" a="1"/>
  <c r="I75" i="34" s="1"/>
  <c r="AE8" i="49" a="1"/>
  <c r="AE8" i="49" s="1"/>
  <c r="K75" i="34" s="1" a="1"/>
  <c r="K75" i="34" s="1"/>
  <c r="I71" i="34" a="1"/>
  <c r="I71" i="34" s="1"/>
  <c r="AE4" i="49" a="1"/>
  <c r="AE4" i="49" s="1"/>
  <c r="K71" i="34" s="1" a="1"/>
  <c r="K71" i="34" s="1"/>
  <c r="J71" i="34" a="1"/>
  <c r="J71" i="34" s="1"/>
  <c r="I39" i="34" a="1"/>
  <c r="I39" i="34" s="1"/>
  <c r="AB18" i="49" a="1"/>
  <c r="AB18" i="49" s="1"/>
  <c r="K39" i="34" s="1" a="1"/>
  <c r="K39" i="34" s="1"/>
  <c r="U18" i="49" a="1"/>
  <c r="U18" i="49" s="1"/>
  <c r="J39" i="34" s="1" a="1"/>
  <c r="J39" i="34" s="1"/>
  <c r="I47" i="34" a="1"/>
  <c r="I47" i="34" s="1"/>
  <c r="AB26" i="49" a="1"/>
  <c r="AB26" i="49" s="1"/>
  <c r="K47" i="34" s="1" a="1"/>
  <c r="K47" i="34" s="1"/>
  <c r="U26" i="49" a="1"/>
  <c r="U26" i="49" s="1"/>
  <c r="J47" i="34" s="1" a="1"/>
  <c r="J47" i="34" s="1"/>
  <c r="Y5" i="49" a="1"/>
  <c r="Y5" i="49" s="1"/>
  <c r="K3" i="34" s="1" a="1"/>
  <c r="K3" i="34" s="1"/>
  <c r="I3" i="34" a="1"/>
  <c r="I3" i="34" s="1"/>
  <c r="M3" i="34" s="1" a="1"/>
  <c r="M3" i="34" s="1"/>
  <c r="R5" i="49" a="1"/>
  <c r="R5" i="49" s="1"/>
  <c r="J3" i="34" s="1" a="1"/>
  <c r="J3" i="34" s="1"/>
  <c r="AD18" i="49" a="1"/>
  <c r="AD18" i="49" s="1"/>
  <c r="K131" i="34" s="1" a="1"/>
  <c r="K131" i="34" s="1"/>
  <c r="I131" i="34" a="1"/>
  <c r="I131" i="34" s="1"/>
  <c r="W18" i="49" a="1"/>
  <c r="W18" i="49" s="1"/>
  <c r="J131" i="34" s="1" a="1"/>
  <c r="J131" i="34" s="1"/>
  <c r="K58" i="34" a="1"/>
  <c r="K58" i="34" s="1"/>
  <c r="I58" i="34" a="1"/>
  <c r="I58" i="34" s="1"/>
  <c r="S14" i="49" a="1"/>
  <c r="S14" i="49" s="1"/>
  <c r="J58" i="34" s="1" a="1"/>
  <c r="J58" i="34" s="1"/>
  <c r="I35" i="34" a="1"/>
  <c r="I35" i="34" s="1"/>
  <c r="AB14" i="49" a="1"/>
  <c r="AB14" i="49" s="1"/>
  <c r="K35" i="34" s="1" a="1"/>
  <c r="K35" i="34" s="1"/>
  <c r="U14" i="49" a="1"/>
  <c r="U14" i="49" s="1"/>
  <c r="J35" i="34" s="1" a="1"/>
  <c r="J35" i="34" s="1"/>
  <c r="U13" i="49" a="1"/>
  <c r="U13" i="49" s="1"/>
  <c r="J34" i="34" s="1" a="1"/>
  <c r="J34" i="34" s="1"/>
  <c r="I34" i="34" a="1"/>
  <c r="I34" i="34" s="1"/>
  <c r="AB13" i="49" a="1"/>
  <c r="AB13" i="49" s="1"/>
  <c r="K34" i="34" s="1" a="1"/>
  <c r="K34" i="34" s="1"/>
  <c r="AA17" i="49" a="1"/>
  <c r="AA17" i="49" s="1"/>
  <c r="K153" i="34" s="1" a="1"/>
  <c r="K153" i="34" s="1"/>
  <c r="I153" i="34" a="1"/>
  <c r="I153" i="34" s="1"/>
  <c r="T17" i="49" a="1"/>
  <c r="T17" i="49" s="1"/>
  <c r="J153" i="34" s="1" a="1"/>
  <c r="J153" i="34" s="1"/>
  <c r="I80" i="34" a="1"/>
  <c r="I80" i="34" s="1"/>
  <c r="AE13" i="49" a="1"/>
  <c r="AE13" i="49" s="1"/>
  <c r="K80" i="34" s="1" a="1"/>
  <c r="K80" i="34" s="1"/>
  <c r="X13" i="49" a="1"/>
  <c r="X13" i="49" s="1"/>
  <c r="J80" i="34" s="1" a="1"/>
  <c r="J80" i="34" s="1"/>
  <c r="I29" i="34" a="1"/>
  <c r="I29" i="34" s="1"/>
  <c r="AB8" i="49" a="1"/>
  <c r="AB8" i="49" s="1"/>
  <c r="K29" i="34" s="1" a="1"/>
  <c r="K29" i="34" s="1"/>
  <c r="U8" i="49" a="1"/>
  <c r="U8" i="49" s="1"/>
  <c r="J29" i="34" s="1" a="1"/>
  <c r="J29" i="34" s="1"/>
  <c r="I25" i="34" a="1"/>
  <c r="I25" i="34" s="1"/>
  <c r="AB4" i="49" a="1"/>
  <c r="AB4" i="49" s="1"/>
  <c r="K25" i="34" s="1" a="1"/>
  <c r="K25" i="34" s="1"/>
  <c r="U4" i="49" a="1"/>
  <c r="U4" i="49" s="1"/>
  <c r="J25" i="34" s="1" a="1"/>
  <c r="J25" i="34" s="1"/>
  <c r="I103" i="34" a="1"/>
  <c r="I103" i="34" s="1"/>
  <c r="AC13" i="49" a="1"/>
  <c r="AC13" i="49" s="1"/>
  <c r="K103" i="34" s="1" a="1"/>
  <c r="K103" i="34" s="1"/>
  <c r="V13" i="49" a="1"/>
  <c r="V13" i="49" s="1"/>
  <c r="J103" i="34" s="1" a="1"/>
  <c r="J103" i="34" s="1"/>
  <c r="I43" i="34" a="1"/>
  <c r="I43" i="34" s="1"/>
  <c r="AB22" i="49" a="1"/>
  <c r="AB22" i="49" s="1"/>
  <c r="K43" i="34" s="1" a="1"/>
  <c r="K43" i="34" s="1"/>
  <c r="U22" i="49" a="1"/>
  <c r="U22" i="49" s="1"/>
  <c r="J43" i="34" s="1" a="1"/>
  <c r="J43" i="34" s="1"/>
  <c r="I6" i="34" a="1"/>
  <c r="I6" i="34" s="1"/>
  <c r="Y8" i="49" a="1"/>
  <c r="Y8" i="49" s="1"/>
  <c r="K6" i="34" s="1" a="1"/>
  <c r="K6" i="34" s="1"/>
  <c r="R8" i="49" a="1"/>
  <c r="R8" i="49" s="1"/>
  <c r="J6" i="34" s="1" a="1"/>
  <c r="J6" i="34" s="1"/>
  <c r="I15" i="34" a="1"/>
  <c r="I15" i="34" s="1"/>
  <c r="Y17" i="49" a="1"/>
  <c r="Y17" i="49" s="1"/>
  <c r="K15" i="34" s="1" a="1"/>
  <c r="K15" i="34" s="1"/>
  <c r="R17" i="49" a="1"/>
  <c r="R17" i="49" s="1"/>
  <c r="J15" i="34" s="1" a="1"/>
  <c r="J15" i="34" s="1"/>
  <c r="W25" i="49" a="1"/>
  <c r="W25" i="49" s="1"/>
  <c r="J138" i="34" s="1" a="1"/>
  <c r="J138" i="34" s="1"/>
  <c r="I138" i="34" a="1"/>
  <c r="I138" i="34" s="1"/>
  <c r="AD25" i="49" a="1"/>
  <c r="AD25" i="49" s="1"/>
  <c r="K138" i="34" s="1" a="1"/>
  <c r="K138" i="34" s="1"/>
  <c r="I152" i="34" a="1"/>
  <c r="I152" i="34" s="1"/>
  <c r="T16" i="49" a="1"/>
  <c r="T16" i="49" s="1"/>
  <c r="J152" i="34" s="1" a="1"/>
  <c r="J152" i="34" s="1"/>
  <c r="AA16" i="49" a="1"/>
  <c r="AA16" i="49" s="1"/>
  <c r="K152" i="34" s="1" a="1"/>
  <c r="K152" i="34" s="1"/>
  <c r="I70" i="34" a="1"/>
  <c r="I70" i="34" s="1"/>
  <c r="S26" i="49" a="1"/>
  <c r="S26" i="49" s="1"/>
  <c r="J70" i="34" s="1" a="1"/>
  <c r="J70" i="34" s="1"/>
  <c r="Z26" i="49" a="1"/>
  <c r="Z26" i="49" s="1"/>
  <c r="K70" i="34" s="1" a="1"/>
  <c r="K70" i="34" s="1"/>
  <c r="I97" i="34" a="1"/>
  <c r="I97" i="34" s="1"/>
  <c r="V7" i="49" a="1"/>
  <c r="V7" i="49" s="1"/>
  <c r="J97" i="34" s="1" a="1"/>
  <c r="J97" i="34" s="1"/>
  <c r="AC7" i="49" a="1"/>
  <c r="AC7" i="49" s="1"/>
  <c r="K97" i="34" s="1" a="1"/>
  <c r="K97" i="34" s="1"/>
  <c r="AE18" i="49" a="1"/>
  <c r="AE18" i="49" s="1"/>
  <c r="K85" i="34" s="1" a="1"/>
  <c r="K85" i="34" s="1"/>
  <c r="I85" i="34" a="1"/>
  <c r="I85" i="34" s="1"/>
  <c r="X18" i="49" a="1"/>
  <c r="X18" i="49" s="1"/>
  <c r="J85" i="34" s="1" a="1"/>
  <c r="J85" i="34" s="1"/>
  <c r="AE7" i="49" a="1"/>
  <c r="AE7" i="49" s="1"/>
  <c r="K74" i="34" s="1" a="1"/>
  <c r="K74" i="34" s="1"/>
  <c r="I74" i="34" a="1"/>
  <c r="I74" i="34" s="1"/>
  <c r="X7" i="49" a="1"/>
  <c r="X7" i="49" s="1"/>
  <c r="J74" i="34" s="1" a="1"/>
  <c r="J74" i="34" s="1"/>
  <c r="Y12" i="49" a="1"/>
  <c r="Y12" i="49" s="1"/>
  <c r="K10" i="34" s="1" a="1"/>
  <c r="K10" i="34" s="1"/>
  <c r="I10" i="34" a="1"/>
  <c r="I10" i="34" s="1"/>
  <c r="R12" i="49" a="1"/>
  <c r="R12" i="49" s="1"/>
  <c r="J10" i="34" s="1" a="1"/>
  <c r="J10" i="34" s="1"/>
  <c r="I84" i="34" a="1"/>
  <c r="I84" i="34" s="1"/>
  <c r="AE17" i="49" a="1"/>
  <c r="AE17" i="49" s="1"/>
  <c r="K84" i="34" s="1" a="1"/>
  <c r="K84" i="34" s="1"/>
  <c r="X17" i="49" a="1"/>
  <c r="X17" i="49" s="1"/>
  <c r="J84" i="34" s="1" a="1"/>
  <c r="J84" i="34" s="1"/>
  <c r="T6" i="49" a="1"/>
  <c r="T6" i="49" s="1"/>
  <c r="J142" i="34" s="1" a="1"/>
  <c r="J142" i="34" s="1"/>
  <c r="I142" i="34" a="1"/>
  <c r="I142" i="34" s="1"/>
  <c r="AA6" i="49" a="1"/>
  <c r="AA6" i="49" s="1"/>
  <c r="K142" i="34" s="1" a="1"/>
  <c r="K142" i="34" s="1"/>
  <c r="I64" i="34" a="1"/>
  <c r="I64" i="34" s="1"/>
  <c r="S20" i="49" a="1"/>
  <c r="S20" i="49" s="1"/>
  <c r="J64" i="34" s="1" a="1"/>
  <c r="J64" i="34" s="1"/>
  <c r="Z20" i="49" a="1"/>
  <c r="Z20" i="49" s="1"/>
  <c r="K64" i="34" s="1" a="1"/>
  <c r="K64" i="34" s="1"/>
  <c r="Y6" i="49" a="1"/>
  <c r="Y6" i="49" s="1"/>
  <c r="K4" i="34" s="1" a="1"/>
  <c r="K4" i="34" s="1"/>
  <c r="I4" i="34" a="1"/>
  <c r="I4" i="34" s="1"/>
  <c r="R6" i="49" a="1"/>
  <c r="R6" i="49" s="1"/>
  <c r="J4" i="34" s="1" a="1"/>
  <c r="J4" i="34" s="1"/>
  <c r="AB6" i="49" a="1"/>
  <c r="AB6" i="49" s="1"/>
  <c r="K27" i="34" s="1" a="1"/>
  <c r="K27" i="34" s="1"/>
  <c r="I27" i="34" a="1"/>
  <c r="I27" i="34" s="1"/>
  <c r="U6" i="49" a="1"/>
  <c r="U6" i="49" s="1"/>
  <c r="J27" i="34" s="1" a="1"/>
  <c r="J27" i="34" s="1"/>
  <c r="AC20" i="49" a="1"/>
  <c r="AC20" i="49" s="1"/>
  <c r="K110" i="34" s="1" a="1"/>
  <c r="K110" i="34" s="1"/>
  <c r="I110" i="34" a="1"/>
  <c r="I110" i="34" s="1"/>
  <c r="V20" i="49" a="1"/>
  <c r="V20" i="49" s="1"/>
  <c r="J110" i="34" s="1" a="1"/>
  <c r="J110" i="34" s="1"/>
  <c r="I91" i="34" a="1"/>
  <c r="I91" i="34" s="1"/>
  <c r="X24" i="49" a="1"/>
  <c r="X24" i="49" s="1"/>
  <c r="J91" i="34" s="1" a="1"/>
  <c r="J91" i="34" s="1"/>
  <c r="AE24" i="49" a="1"/>
  <c r="AE24" i="49" s="1"/>
  <c r="K91" i="34" s="1" a="1"/>
  <c r="K91" i="34" s="1"/>
  <c r="Y20" i="49" a="1"/>
  <c r="Y20" i="49" s="1"/>
  <c r="K18" i="34" s="1" a="1"/>
  <c r="K18" i="34" s="1"/>
  <c r="I18" i="34" a="1"/>
  <c r="I18" i="34" s="1"/>
  <c r="M18" i="34" s="1" a="1"/>
  <c r="M18" i="34" s="1"/>
  <c r="R20" i="49" a="1"/>
  <c r="R20" i="49" s="1"/>
  <c r="J18" i="34" s="1" a="1"/>
  <c r="J18" i="34" s="1"/>
  <c r="I151" i="34" a="1"/>
  <c r="I151" i="34" s="1"/>
  <c r="AA15" i="49" a="1"/>
  <c r="AA15" i="49" s="1"/>
  <c r="K151" i="34" s="1" a="1"/>
  <c r="K151" i="34" s="1"/>
  <c r="T15" i="49" a="1"/>
  <c r="T15" i="49" s="1"/>
  <c r="J151" i="34" s="1" a="1"/>
  <c r="J151" i="34" s="1"/>
  <c r="I135" i="34" a="1"/>
  <c r="I135" i="34" s="1"/>
  <c r="W22" i="49" a="1"/>
  <c r="W22" i="49" s="1"/>
  <c r="J135" i="34" s="1" a="1"/>
  <c r="J135" i="34" s="1"/>
  <c r="AD22" i="49" a="1"/>
  <c r="AD22" i="49" s="1"/>
  <c r="K135" i="34" s="1" a="1"/>
  <c r="K135" i="34" s="1"/>
  <c r="I105" i="34" a="1"/>
  <c r="I105" i="34" s="1"/>
  <c r="AC15" i="49" a="1"/>
  <c r="AC15" i="49" s="1"/>
  <c r="K105" i="34" s="1" a="1"/>
  <c r="K105" i="34" s="1"/>
  <c r="V15" i="49" a="1"/>
  <c r="V15" i="49" s="1"/>
  <c r="J105" i="34" s="1" a="1"/>
  <c r="J105" i="34" s="1"/>
  <c r="AA7" i="49" a="1"/>
  <c r="AA7" i="49" s="1"/>
  <c r="K143" i="34" s="1" a="1"/>
  <c r="K143" i="34" s="1"/>
  <c r="I143" i="34" a="1"/>
  <c r="I143" i="34" s="1"/>
  <c r="T7" i="49" a="1"/>
  <c r="T7" i="49" s="1"/>
  <c r="J143" i="34" s="1" a="1"/>
  <c r="J143" i="34" s="1"/>
  <c r="AC5" i="49" a="1"/>
  <c r="AC5" i="49" s="1"/>
  <c r="K95" i="34" s="1" a="1"/>
  <c r="K95" i="34" s="1"/>
  <c r="I95" i="34" a="1"/>
  <c r="I95" i="34" s="1"/>
  <c r="V5" i="49" a="1"/>
  <c r="V5" i="49" s="1"/>
  <c r="J95" i="34" s="1" a="1"/>
  <c r="J95" i="34" s="1"/>
  <c r="AC14" i="49" a="1"/>
  <c r="AC14" i="49" s="1"/>
  <c r="K104" i="34" s="1" a="1"/>
  <c r="K104" i="34" s="1"/>
  <c r="I104" i="34" a="1"/>
  <c r="I104" i="34" s="1"/>
  <c r="V14" i="49" a="1"/>
  <c r="V14" i="49" s="1"/>
  <c r="J104" i="34" s="1" a="1"/>
  <c r="J104" i="34" s="1"/>
  <c r="I113" i="34" a="1"/>
  <c r="I113" i="34" s="1"/>
  <c r="AC23" i="49" a="1"/>
  <c r="AC23" i="49" s="1"/>
  <c r="K113" i="34" s="1" a="1"/>
  <c r="K113" i="34" s="1"/>
  <c r="V23" i="49" a="1"/>
  <c r="V23" i="49" s="1"/>
  <c r="J113" i="34" s="1" a="1"/>
  <c r="J113" i="34" s="1"/>
  <c r="Z9" i="49" a="1"/>
  <c r="Z9" i="49" s="1"/>
  <c r="K53" i="34" s="1" a="1"/>
  <c r="K53" i="34" s="1"/>
  <c r="I53" i="34" a="1"/>
  <c r="I53" i="34" s="1"/>
  <c r="S9" i="49" a="1"/>
  <c r="S9" i="49" s="1"/>
  <c r="J53" i="34" s="1" a="1"/>
  <c r="J53" i="34" s="1"/>
  <c r="I62" i="34" a="1"/>
  <c r="I62" i="34" s="1"/>
  <c r="Z18" i="49" a="1"/>
  <c r="Z18" i="49" s="1"/>
  <c r="K62" i="34" s="1" a="1"/>
  <c r="K62" i="34" s="1"/>
  <c r="S18" i="49" a="1"/>
  <c r="S18" i="49" s="1"/>
  <c r="J62" i="34" s="1" a="1"/>
  <c r="J62" i="34" s="1"/>
  <c r="I93" i="34" a="1"/>
  <c r="I93" i="34" s="1"/>
  <c r="X26" i="49" a="1"/>
  <c r="X26" i="49" s="1"/>
  <c r="J93" i="34" s="1" a="1"/>
  <c r="J93" i="34" s="1"/>
  <c r="AE26" i="49" a="1"/>
  <c r="AE26" i="49" s="1"/>
  <c r="K93" i="34" s="1" a="1"/>
  <c r="K93" i="34" s="1"/>
  <c r="I38" i="34" a="1"/>
  <c r="I38" i="34" s="1"/>
  <c r="AB17" i="49" a="1"/>
  <c r="AB17" i="49" s="1"/>
  <c r="K38" i="34" s="1" a="1"/>
  <c r="K38" i="34" s="1"/>
  <c r="U17" i="49" a="1"/>
  <c r="U17" i="49" s="1"/>
  <c r="J38" i="34" s="1" a="1"/>
  <c r="J38" i="34" s="1"/>
  <c r="Z4" i="49" a="1"/>
  <c r="Z4" i="49" s="1"/>
  <c r="K48" i="34" s="1" a="1"/>
  <c r="K48" i="34" s="1"/>
  <c r="I48" i="34" a="1"/>
  <c r="I48" i="34" s="1"/>
  <c r="S4" i="49" a="1"/>
  <c r="S4" i="49" s="1"/>
  <c r="J48" i="34" s="1" a="1"/>
  <c r="J48" i="34" s="1"/>
  <c r="K150" i="34" a="1"/>
  <c r="K150" i="34" s="1"/>
  <c r="I150" i="34" a="1"/>
  <c r="I150" i="34" s="1"/>
  <c r="T14" i="49" a="1"/>
  <c r="T14" i="49" s="1"/>
  <c r="J150" i="34" s="1" a="1"/>
  <c r="J150" i="34" s="1"/>
  <c r="I41" i="34" a="1"/>
  <c r="I41" i="34" s="1"/>
  <c r="U20" i="49" a="1"/>
  <c r="U20" i="49" s="1"/>
  <c r="J41" i="34" s="1" a="1"/>
  <c r="J41" i="34" s="1"/>
  <c r="AB20" i="49" a="1"/>
  <c r="AB20" i="49" s="1"/>
  <c r="K41" i="34" s="1" a="1"/>
  <c r="K41" i="34" s="1"/>
  <c r="I51" i="34" a="1"/>
  <c r="I51" i="34" s="1"/>
  <c r="S7" i="49" a="1"/>
  <c r="S7" i="49" s="1"/>
  <c r="J51" i="34" s="1" a="1"/>
  <c r="J51" i="34" s="1"/>
  <c r="Z7" i="49" a="1"/>
  <c r="Z7" i="49" s="1"/>
  <c r="K51" i="34" s="1" a="1"/>
  <c r="K51" i="34" s="1"/>
  <c r="I134" i="34" a="1"/>
  <c r="I134" i="34" s="1"/>
  <c r="AD21" i="49" a="1"/>
  <c r="AD21" i="49" s="1"/>
  <c r="K134" i="34" s="1" a="1"/>
  <c r="K134" i="34" s="1"/>
  <c r="W21" i="49" a="1"/>
  <c r="W21" i="49" s="1"/>
  <c r="J134" i="34" s="1" a="1"/>
  <c r="J134" i="34" s="1"/>
  <c r="AD7" i="49" a="1"/>
  <c r="AD7" i="49" s="1"/>
  <c r="K120" i="34" s="1" a="1"/>
  <c r="K120" i="34" s="1"/>
  <c r="I120" i="34" a="1"/>
  <c r="I120" i="34" s="1"/>
  <c r="W7" i="49" a="1"/>
  <c r="W7" i="49" s="1"/>
  <c r="J120" i="34" s="1" a="1"/>
  <c r="J120" i="34" s="1"/>
  <c r="I20" i="34" a="1"/>
  <c r="I20" i="34" s="1"/>
  <c r="Y22" i="49" a="1"/>
  <c r="Y22" i="49" s="1"/>
  <c r="K20" i="34" s="1" a="1"/>
  <c r="K20" i="34" s="1"/>
  <c r="R22" i="49" a="1"/>
  <c r="R22" i="49" s="1"/>
  <c r="J20" i="34" s="1" a="1"/>
  <c r="J20" i="34" s="1"/>
  <c r="X10" i="49" a="1"/>
  <c r="X10" i="49" s="1"/>
  <c r="J77" i="34" s="1" a="1"/>
  <c r="J77" i="34" s="1"/>
  <c r="I77" i="34" a="1"/>
  <c r="I77" i="34" s="1"/>
  <c r="AE10" i="49" a="1"/>
  <c r="AE10" i="49" s="1"/>
  <c r="K77" i="34" s="1" a="1"/>
  <c r="K77" i="34" s="1"/>
  <c r="Z8" i="49" a="1"/>
  <c r="Z8" i="49" s="1"/>
  <c r="K52" i="34" s="1" a="1"/>
  <c r="K52" i="34" s="1"/>
  <c r="I52" i="34" a="1"/>
  <c r="I52" i="34" s="1"/>
  <c r="S8" i="49" a="1"/>
  <c r="S8" i="49" s="1"/>
  <c r="J52" i="34" s="1" a="1"/>
  <c r="J52" i="34" s="1"/>
  <c r="I66" i="34" a="1"/>
  <c r="I66" i="34" s="1"/>
  <c r="Z22" i="49" a="1"/>
  <c r="Z22" i="49" s="1"/>
  <c r="K66" i="34" s="1" a="1"/>
  <c r="K66" i="34" s="1"/>
  <c r="S22" i="49" a="1"/>
  <c r="S22" i="49" s="1"/>
  <c r="J66" i="34" s="1" a="1"/>
  <c r="J66" i="34" s="1"/>
  <c r="U7" i="49" a="1"/>
  <c r="U7" i="49" s="1"/>
  <c r="J28" i="34" s="1" a="1"/>
  <c r="J28" i="34" s="1"/>
  <c r="I28" i="34" a="1"/>
  <c r="I28" i="34" s="1"/>
  <c r="AB7" i="49" a="1"/>
  <c r="AB7" i="49" s="1"/>
  <c r="K28" i="34" s="1" a="1"/>
  <c r="K28" i="34" s="1"/>
  <c r="AB23" i="49" a="1"/>
  <c r="AB23" i="49" s="1"/>
  <c r="K44" i="34" s="1" a="1"/>
  <c r="K44" i="34" s="1"/>
  <c r="I44" i="34" a="1"/>
  <c r="I44" i="34" s="1"/>
  <c r="U23" i="49" a="1"/>
  <c r="U23" i="49" s="1"/>
  <c r="J44" i="34" s="1" a="1"/>
  <c r="J44" i="34" s="1"/>
  <c r="I61" i="34" a="1"/>
  <c r="I61" i="34" s="1"/>
  <c r="Z17" i="49" a="1"/>
  <c r="Z17" i="49" s="1"/>
  <c r="K61" i="34" s="1" a="1"/>
  <c r="K61" i="34" s="1"/>
  <c r="S17" i="49" a="1"/>
  <c r="S17" i="49" s="1"/>
  <c r="J61" i="34" s="1" a="1"/>
  <c r="J61" i="34" s="1"/>
  <c r="I160" i="34" a="1"/>
  <c r="I160" i="34" s="1"/>
  <c r="AA24" i="49" a="1"/>
  <c r="AA24" i="49" s="1"/>
  <c r="K160" i="34" s="1" a="1"/>
  <c r="K160" i="34" s="1"/>
  <c r="T24" i="49" a="1"/>
  <c r="T24" i="49" s="1"/>
  <c r="J160" i="34" s="1" a="1"/>
  <c r="J160" i="34" s="1"/>
  <c r="I107" i="34" a="1"/>
  <c r="I107" i="34" s="1"/>
  <c r="AC17" i="49" a="1"/>
  <c r="AC17" i="49" s="1"/>
  <c r="K107" i="34" s="1" a="1"/>
  <c r="K107" i="34" s="1"/>
  <c r="V17" i="49" a="1"/>
  <c r="V17" i="49" s="1"/>
  <c r="J107" i="34" s="1" a="1"/>
  <c r="J107" i="34" s="1"/>
  <c r="AC19" i="49" a="1"/>
  <c r="AC19" i="49" s="1"/>
  <c r="K109" i="34" s="1" a="1"/>
  <c r="K109" i="34" s="1"/>
  <c r="I109" i="34" a="1"/>
  <c r="I109" i="34" s="1"/>
  <c r="V19" i="49" a="1"/>
  <c r="V19" i="49" s="1"/>
  <c r="J109" i="34" s="1" a="1"/>
  <c r="J109" i="34" s="1"/>
  <c r="I119" i="34" a="1"/>
  <c r="I119" i="34" s="1"/>
  <c r="W6" i="49" a="1"/>
  <c r="W6" i="49" s="1"/>
  <c r="J119" i="34" s="1" a="1"/>
  <c r="J119" i="34" s="1"/>
  <c r="AD6" i="49" a="1"/>
  <c r="AD6" i="49" s="1"/>
  <c r="K119" i="34" s="1" a="1"/>
  <c r="K119" i="34" s="1"/>
  <c r="AD15" i="49" a="1"/>
  <c r="AD15" i="49" s="1"/>
  <c r="K128" i="34" s="1" a="1"/>
  <c r="K128" i="34" s="1"/>
  <c r="I128" i="34" a="1"/>
  <c r="I128" i="34" s="1"/>
  <c r="W15" i="49" a="1"/>
  <c r="W15" i="49" s="1"/>
  <c r="J128" i="34" s="1" a="1"/>
  <c r="J128" i="34" s="1"/>
  <c r="I114" i="34" a="1"/>
  <c r="I114" i="34" s="1"/>
  <c r="AC24" i="49" a="1"/>
  <c r="AC24" i="49" s="1"/>
  <c r="K114" i="34" s="1" a="1"/>
  <c r="K114" i="34" s="1"/>
  <c r="V24" i="49" a="1"/>
  <c r="V24" i="49" s="1"/>
  <c r="J114" i="34" s="1" a="1"/>
  <c r="J114" i="34" s="1"/>
  <c r="I146" i="34" a="1"/>
  <c r="I146" i="34" s="1"/>
  <c r="T10" i="49" a="1"/>
  <c r="T10" i="49" s="1"/>
  <c r="J146" i="34" s="1" a="1"/>
  <c r="J146" i="34" s="1"/>
  <c r="AA10" i="49" a="1"/>
  <c r="AA10" i="49" s="1"/>
  <c r="K146" i="34" s="1" a="1"/>
  <c r="K146" i="34" s="1"/>
  <c r="I155" i="34" a="1"/>
  <c r="I155" i="34" s="1"/>
  <c r="T19" i="49" a="1"/>
  <c r="T19" i="49" s="1"/>
  <c r="J155" i="34" s="1" a="1"/>
  <c r="J155" i="34" s="1"/>
  <c r="AA19" i="49" a="1"/>
  <c r="AA19" i="49" s="1"/>
  <c r="K155" i="34" s="1" a="1"/>
  <c r="K155" i="34" s="1"/>
  <c r="AC9" i="49" a="1"/>
  <c r="AC9" i="49" s="1"/>
  <c r="K99" i="34" s="1" a="1"/>
  <c r="K99" i="34" s="1"/>
  <c r="I99" i="34" a="1"/>
  <c r="I99" i="34" s="1"/>
  <c r="V9" i="49" a="1"/>
  <c r="V9" i="49" s="1"/>
  <c r="J99" i="34" s="1" a="1"/>
  <c r="J99" i="34" s="1"/>
  <c r="I108" i="34" a="1"/>
  <c r="I108" i="34" s="1"/>
  <c r="AC18" i="49" a="1"/>
  <c r="AC18" i="49" s="1"/>
  <c r="K108" i="34" s="1" a="1"/>
  <c r="K108" i="34" s="1"/>
  <c r="V18" i="49" a="1"/>
  <c r="V18" i="49" s="1"/>
  <c r="J108" i="34" s="1" a="1"/>
  <c r="J108" i="34" s="1"/>
  <c r="E18" i="33"/>
  <c r="B18" i="33" s="1"/>
  <c r="B11" i="30" s="1"/>
  <c r="AM8" i="33"/>
  <c r="AO8" i="33" s="1"/>
  <c r="O118" i="31"/>
  <c r="AM5" i="33" s="1"/>
  <c r="AM6" i="33"/>
  <c r="AO6" i="33" s="1"/>
  <c r="AM7" i="33"/>
  <c r="AO7" i="33" s="1"/>
  <c r="B35" i="33"/>
  <c r="B25" i="30" s="1"/>
  <c r="D118" i="31"/>
  <c r="B26" i="30"/>
  <c r="H119" i="31"/>
  <c r="D119" i="31" s="1"/>
  <c r="Q89" i="35" a="1"/>
  <c r="Q89" i="35" s="1"/>
  <c r="R89" i="35" a="1"/>
  <c r="R44" i="35" s="1" a="1"/>
  <c r="R44" i="35" s="1"/>
  <c r="W89" i="35" a="1"/>
  <c r="V89" i="35" a="1"/>
  <c r="U89" i="35" a="1"/>
  <c r="T89" i="35" a="1"/>
  <c r="S89" i="35" a="1"/>
  <c r="D31" i="33"/>
  <c r="D35" i="31"/>
  <c r="B35" i="31" s="1"/>
  <c r="B69" i="29" s="1"/>
  <c r="I18" i="31"/>
  <c r="L49" i="29" s="1"/>
  <c r="AP4" i="33" l="1"/>
  <c r="D67" i="33" s="1"/>
  <c r="B67" i="33" s="1"/>
  <c r="B48" i="30" s="1"/>
  <c r="P18" i="34"/>
  <c r="P9" i="34"/>
  <c r="P3" i="34"/>
  <c r="M102" i="34" a="1"/>
  <c r="M102" i="34" s="1"/>
  <c r="M27" i="34" a="1"/>
  <c r="M27" i="34" s="1"/>
  <c r="M43" i="34" a="1"/>
  <c r="M43" i="34" s="1"/>
  <c r="M75" i="34" a="1"/>
  <c r="M75" i="34" s="1"/>
  <c r="M98" i="34" a="1"/>
  <c r="M98" i="34" s="1"/>
  <c r="M76" i="34" a="1"/>
  <c r="M76" i="34" s="1"/>
  <c r="M95" i="34" a="1"/>
  <c r="M95" i="34" s="1"/>
  <c r="M117" i="34" a="1"/>
  <c r="M117" i="34" s="1"/>
  <c r="M116" i="34" a="1"/>
  <c r="M116" i="34" s="1"/>
  <c r="M93" i="34" a="1"/>
  <c r="M93" i="34" s="1"/>
  <c r="M124" i="34" a="1"/>
  <c r="M124" i="34" s="1"/>
  <c r="M31" i="34" a="1"/>
  <c r="M31" i="34" s="1"/>
  <c r="M119" i="34" a="1"/>
  <c r="M119" i="34" s="1"/>
  <c r="M90" i="34" a="1"/>
  <c r="M90" i="34" s="1"/>
  <c r="M100" i="34" a="1"/>
  <c r="M100" i="34" s="1"/>
  <c r="M73" i="34" a="1"/>
  <c r="M73" i="34" s="1"/>
  <c r="M88" i="34" a="1"/>
  <c r="M88" i="34" s="1"/>
  <c r="M85" i="34" a="1"/>
  <c r="M85" i="34" s="1"/>
  <c r="M44" i="34" a="1"/>
  <c r="M44" i="34" s="1"/>
  <c r="M131" i="34" a="1"/>
  <c r="M131" i="34" s="1"/>
  <c r="M46" i="34" a="1"/>
  <c r="M46" i="34" s="1"/>
  <c r="M26" i="34" a="1"/>
  <c r="M26" i="34" s="1"/>
  <c r="M47" i="34" a="1"/>
  <c r="M47" i="34" s="1"/>
  <c r="B31" i="33"/>
  <c r="B22" i="30" s="1"/>
  <c r="M121" i="34" a="1"/>
  <c r="M121" i="34" s="1"/>
  <c r="M77" i="34" a="1"/>
  <c r="M77" i="34" s="1"/>
  <c r="M87" i="34" a="1"/>
  <c r="M87" i="34" s="1"/>
  <c r="M72" i="34" a="1"/>
  <c r="M72" i="34" s="1"/>
  <c r="M125" i="34" a="1"/>
  <c r="M125" i="34" s="1"/>
  <c r="M79" i="34" a="1"/>
  <c r="M79" i="34" s="1"/>
  <c r="M40" i="34" a="1"/>
  <c r="M40" i="34" s="1"/>
  <c r="M138" i="34" a="1"/>
  <c r="M138" i="34" s="1"/>
  <c r="M122" i="34" a="1"/>
  <c r="M122" i="34" s="1"/>
  <c r="M39" i="34" a="1"/>
  <c r="M39" i="34" s="1"/>
  <c r="M32" i="34" a="1"/>
  <c r="M32" i="34" s="1"/>
  <c r="M41" i="34" a="1"/>
  <c r="M41" i="34" s="1"/>
  <c r="M139" i="34" a="1"/>
  <c r="M139" i="34" s="1"/>
  <c r="M111" i="34" a="1"/>
  <c r="M111" i="34" s="1"/>
  <c r="M91" i="34" a="1"/>
  <c r="M91" i="34" s="1"/>
  <c r="M114" i="34" a="1"/>
  <c r="M114" i="34" s="1"/>
  <c r="M105" i="34" a="1"/>
  <c r="M105" i="34" s="1"/>
  <c r="M136" i="34" a="1"/>
  <c r="M136" i="34" s="1"/>
  <c r="M30" i="34" a="1"/>
  <c r="M30" i="34" s="1"/>
  <c r="M45" i="34" a="1"/>
  <c r="M45" i="34" s="1"/>
  <c r="M71" i="34" a="1"/>
  <c r="M71" i="34" s="1"/>
  <c r="M86" i="34" a="1"/>
  <c r="M86" i="34" s="1"/>
  <c r="M110" i="34" a="1"/>
  <c r="M110" i="34" s="1"/>
  <c r="M115" i="34" a="1"/>
  <c r="M115" i="34" s="1"/>
  <c r="M161" i="34" a="1"/>
  <c r="M161" i="34" s="1"/>
  <c r="M112" i="34" a="1"/>
  <c r="M112" i="34" s="1"/>
  <c r="M92" i="34" a="1"/>
  <c r="M92" i="34" s="1"/>
  <c r="M130" i="34" a="1"/>
  <c r="M130" i="34" s="1"/>
  <c r="M118" i="34" a="1"/>
  <c r="M118" i="34" s="1"/>
  <c r="M132" i="34" a="1"/>
  <c r="M132" i="34" s="1"/>
  <c r="M84" i="34" a="1"/>
  <c r="M84" i="34" s="1"/>
  <c r="M137" i="34" a="1"/>
  <c r="M137" i="34" s="1"/>
  <c r="M69" i="34" a="1"/>
  <c r="M69" i="34" s="1"/>
  <c r="M42" i="34" a="1"/>
  <c r="M42" i="34" s="1"/>
  <c r="M94" i="34" a="1"/>
  <c r="M94" i="34" s="1"/>
  <c r="M134" i="34" a="1"/>
  <c r="M134" i="34" s="1"/>
  <c r="M126" i="34" a="1"/>
  <c r="M126" i="34" s="1"/>
  <c r="M148" i="34" a="1"/>
  <c r="M148" i="34" s="1"/>
  <c r="M101" i="34" a="1"/>
  <c r="M101" i="34" s="1"/>
  <c r="M74" i="34" a="1"/>
  <c r="M74" i="34" s="1"/>
  <c r="M162" i="34" a="1"/>
  <c r="M162" i="34" s="1"/>
  <c r="M123" i="34" a="1"/>
  <c r="M123" i="34" s="1"/>
  <c r="M99" i="34" a="1"/>
  <c r="M99" i="34" s="1"/>
  <c r="M157" i="34" a="1"/>
  <c r="M157" i="34" s="1"/>
  <c r="M65" i="34" a="1"/>
  <c r="M65" i="34" s="1"/>
  <c r="M113" i="34" a="1"/>
  <c r="M113" i="34" s="1"/>
  <c r="M78" i="34" a="1"/>
  <c r="M78" i="34" s="1"/>
  <c r="M146" i="34" a="1"/>
  <c r="M146" i="34" s="1"/>
  <c r="M135" i="34" a="1"/>
  <c r="M135" i="34" s="1"/>
  <c r="M143" i="34" a="1"/>
  <c r="M143" i="34" s="1"/>
  <c r="M62" i="34" a="1"/>
  <c r="M62" i="34" s="1"/>
  <c r="M29" i="34" a="1"/>
  <c r="M29" i="34" s="1"/>
  <c r="M53" i="34" a="1"/>
  <c r="M53" i="34" s="1"/>
  <c r="M120" i="34" a="1"/>
  <c r="M120" i="34" s="1"/>
  <c r="M38" i="34" a="1"/>
  <c r="M38" i="34" s="1"/>
  <c r="M48" i="34" a="1"/>
  <c r="M48" i="34" s="1"/>
  <c r="M133" i="34" a="1"/>
  <c r="M133" i="34" s="1"/>
  <c r="M156" i="34" a="1"/>
  <c r="M156" i="34" s="1"/>
  <c r="M28" i="34" a="1"/>
  <c r="M28" i="34" s="1"/>
  <c r="M89" i="34" a="1"/>
  <c r="M89" i="34" s="1"/>
  <c r="M64" i="34" a="1"/>
  <c r="M64" i="34" s="1"/>
  <c r="M55" i="34" a="1"/>
  <c r="M55" i="34" s="1"/>
  <c r="M141" i="34" a="1"/>
  <c r="M141" i="34" s="1"/>
  <c r="M97" i="34" a="1"/>
  <c r="M97" i="34" s="1"/>
  <c r="M54" i="34" a="1"/>
  <c r="M54" i="34" s="1"/>
  <c r="M147" i="34" a="1"/>
  <c r="M147" i="34" s="1"/>
  <c r="M59" i="34" a="1"/>
  <c r="M59" i="34" s="1"/>
  <c r="M108" i="34" a="1"/>
  <c r="M108" i="34" s="1"/>
  <c r="M66" i="34" a="1"/>
  <c r="M66" i="34" s="1"/>
  <c r="M109" i="34" a="1"/>
  <c r="M109" i="34" s="1"/>
  <c r="M159" i="34" a="1"/>
  <c r="M159" i="34" s="1"/>
  <c r="M96" i="34" a="1"/>
  <c r="M96" i="34" s="1"/>
  <c r="M158" i="34" a="1"/>
  <c r="M158" i="34" s="1"/>
  <c r="M49" i="34" a="1"/>
  <c r="M49" i="34" s="1"/>
  <c r="M155" i="34" a="1"/>
  <c r="M155" i="34" s="1"/>
  <c r="M145" i="34" a="1"/>
  <c r="M145" i="34" s="1"/>
  <c r="M70" i="34" a="1"/>
  <c r="M70" i="34" s="1"/>
  <c r="M142" i="34" a="1"/>
  <c r="M142" i="34" s="1"/>
  <c r="M63" i="34" a="1"/>
  <c r="M63" i="34" s="1"/>
  <c r="M160" i="34" a="1"/>
  <c r="M160" i="34" s="1"/>
  <c r="M50" i="34" a="1"/>
  <c r="M50" i="34" s="1"/>
  <c r="M56" i="34" a="1"/>
  <c r="M56" i="34" s="1"/>
  <c r="M67" i="34" a="1"/>
  <c r="M67" i="34" s="1"/>
  <c r="M51" i="34" a="1"/>
  <c r="M51" i="34" s="1"/>
  <c r="M154" i="34" a="1"/>
  <c r="M154" i="34" s="1"/>
  <c r="M52" i="34" a="1"/>
  <c r="M52" i="34" s="1"/>
  <c r="M144" i="34" a="1"/>
  <c r="M144" i="34" s="1"/>
  <c r="M140" i="34" a="1"/>
  <c r="M140" i="34" s="1"/>
  <c r="M68" i="34" a="1"/>
  <c r="M68" i="34" s="1"/>
  <c r="M7" i="34" a="1"/>
  <c r="M7" i="34" s="1"/>
  <c r="M17" i="34" a="1"/>
  <c r="M17" i="34" s="1"/>
  <c r="M12" i="34" a="1"/>
  <c r="M12" i="34" s="1"/>
  <c r="R39" i="35" a="1"/>
  <c r="R39" i="35" s="1"/>
  <c r="R47" i="35" a="1"/>
  <c r="R47" i="35" s="1"/>
  <c r="R43" i="35" a="1"/>
  <c r="R43" i="35" s="1"/>
  <c r="M21" i="34" a="1"/>
  <c r="M21" i="34" s="1"/>
  <c r="M19" i="34" a="1"/>
  <c r="M19" i="34" s="1"/>
  <c r="M22" i="34" a="1"/>
  <c r="M22" i="34" s="1"/>
  <c r="R32" i="35" a="1"/>
  <c r="R32" i="35" s="1"/>
  <c r="R40" i="35" a="1"/>
  <c r="R40" i="35" s="1"/>
  <c r="R36" i="35" a="1"/>
  <c r="R36" i="35" s="1"/>
  <c r="R49" i="35" a="1"/>
  <c r="R49" i="35" s="1"/>
  <c r="R46" i="35" a="1"/>
  <c r="R46" i="35" s="1"/>
  <c r="R35" i="35" a="1"/>
  <c r="R35" i="35" s="1"/>
  <c r="R42" i="35" a="1"/>
  <c r="R42" i="35" s="1"/>
  <c r="R45" i="35" a="1"/>
  <c r="R45" i="35" s="1"/>
  <c r="R52" i="35" a="1"/>
  <c r="R52" i="35" s="1"/>
  <c r="R33" i="35" a="1"/>
  <c r="R33" i="35" s="1"/>
  <c r="R38" i="35" a="1"/>
  <c r="R38" i="35" s="1"/>
  <c r="R51" i="35" a="1"/>
  <c r="R51" i="35" s="1"/>
  <c r="R41" i="35" a="1"/>
  <c r="R41" i="35" s="1"/>
  <c r="R37" i="35" a="1"/>
  <c r="R37" i="35" s="1"/>
  <c r="R89" i="35"/>
  <c r="R31" i="35" s="1" a="1"/>
  <c r="R31" i="35" s="1"/>
  <c r="R34" i="35" a="1"/>
  <c r="R34" i="35" s="1"/>
  <c r="R53" i="35" a="1"/>
  <c r="R53" i="35" s="1"/>
  <c r="R50" i="35" a="1"/>
  <c r="R50" i="35" s="1"/>
  <c r="R48" i="35" a="1"/>
  <c r="R48" i="35" s="1"/>
  <c r="U89" i="35"/>
  <c r="U31" i="35" s="1" a="1"/>
  <c r="U31" i="35" s="1"/>
  <c r="U38" i="35" a="1"/>
  <c r="U38" i="35" s="1"/>
  <c r="U46" i="35" a="1"/>
  <c r="U46" i="35" s="1"/>
  <c r="U50" i="35" a="1"/>
  <c r="U50" i="35" s="1"/>
  <c r="U39" i="35" a="1"/>
  <c r="U39" i="35" s="1"/>
  <c r="U47" i="35" a="1"/>
  <c r="U47" i="35" s="1"/>
  <c r="U34" i="35" a="1"/>
  <c r="U34" i="35" s="1"/>
  <c r="U51" i="35" a="1"/>
  <c r="U51" i="35" s="1"/>
  <c r="U32" i="35" a="1"/>
  <c r="U32" i="35" s="1"/>
  <c r="U40" i="35" a="1"/>
  <c r="U40" i="35" s="1"/>
  <c r="U48" i="35" a="1"/>
  <c r="U48" i="35" s="1"/>
  <c r="U33" i="35" a="1"/>
  <c r="U33" i="35" s="1"/>
  <c r="U41" i="35" a="1"/>
  <c r="U41" i="35" s="1"/>
  <c r="U49" i="35" a="1"/>
  <c r="U49" i="35" s="1"/>
  <c r="U42" i="35" a="1"/>
  <c r="U42" i="35" s="1"/>
  <c r="U36" i="35" a="1"/>
  <c r="U36" i="35" s="1"/>
  <c r="U44" i="35" a="1"/>
  <c r="U44" i="35" s="1"/>
  <c r="U53" i="35" a="1"/>
  <c r="U53" i="35" s="1"/>
  <c r="U43" i="35" a="1"/>
  <c r="U43" i="35" s="1"/>
  <c r="U52" i="35" a="1"/>
  <c r="U52" i="35" s="1"/>
  <c r="U37" i="35" a="1"/>
  <c r="U37" i="35" s="1"/>
  <c r="U45" i="35" a="1"/>
  <c r="U45" i="35" s="1"/>
  <c r="U35" i="35" a="1"/>
  <c r="U35" i="35" s="1"/>
  <c r="V89" i="35"/>
  <c r="V31" i="35" s="1" a="1"/>
  <c r="V31" i="35" s="1"/>
  <c r="V53" i="35" a="1"/>
  <c r="V53" i="35" s="1"/>
  <c r="V50" i="35" a="1"/>
  <c r="V50" i="35" s="1"/>
  <c r="V37" i="35" a="1"/>
  <c r="V37" i="35" s="1"/>
  <c r="V38" i="35" a="1"/>
  <c r="V38" i="35" s="1"/>
  <c r="V45" i="35" a="1"/>
  <c r="V45" i="35" s="1"/>
  <c r="V46" i="35" a="1"/>
  <c r="V46" i="35" s="1"/>
  <c r="V32" i="35" a="1"/>
  <c r="V32" i="35" s="1"/>
  <c r="V39" i="35" a="1"/>
  <c r="V39" i="35" s="1"/>
  <c r="V40" i="35" a="1"/>
  <c r="V40" i="35" s="1"/>
  <c r="V47" i="35" a="1"/>
  <c r="V47" i="35" s="1"/>
  <c r="V48" i="35" a="1"/>
  <c r="V48" i="35" s="1"/>
  <c r="V51" i="35" a="1"/>
  <c r="V51" i="35" s="1"/>
  <c r="V52" i="35" a="1"/>
  <c r="V52" i="35" s="1"/>
  <c r="V33" i="35" a="1"/>
  <c r="V33" i="35" s="1"/>
  <c r="V44" i="35" a="1"/>
  <c r="V44" i="35" s="1"/>
  <c r="V36" i="35" a="1"/>
  <c r="V36" i="35" s="1"/>
  <c r="V43" i="35" a="1"/>
  <c r="V43" i="35" s="1"/>
  <c r="V34" i="35" a="1"/>
  <c r="V34" i="35" s="1"/>
  <c r="V41" i="35" a="1"/>
  <c r="V41" i="35" s="1"/>
  <c r="V42" i="35" a="1"/>
  <c r="V42" i="35" s="1"/>
  <c r="V49" i="35" a="1"/>
  <c r="V49" i="35" s="1"/>
  <c r="V35" i="35" a="1"/>
  <c r="V35" i="35" s="1"/>
  <c r="S89" i="35"/>
  <c r="S31" i="35" s="1" a="1"/>
  <c r="S31" i="35" s="1"/>
  <c r="S33" i="35" a="1"/>
  <c r="S33" i="35" s="1"/>
  <c r="S41" i="35" a="1"/>
  <c r="S41" i="35" s="1"/>
  <c r="S49" i="35" a="1"/>
  <c r="S49" i="35" s="1"/>
  <c r="S34" i="35" a="1"/>
  <c r="S34" i="35" s="1"/>
  <c r="S42" i="35" a="1"/>
  <c r="S42" i="35" s="1"/>
  <c r="N59" i="34" s="1" a="1"/>
  <c r="N59" i="34" s="1"/>
  <c r="Q59" i="34" s="1"/>
  <c r="S50" i="35" a="1"/>
  <c r="S50" i="35" s="1"/>
  <c r="S51" i="35" a="1"/>
  <c r="S51" i="35" s="1"/>
  <c r="S35" i="35" a="1"/>
  <c r="S35" i="35" s="1"/>
  <c r="S43" i="35" a="1"/>
  <c r="S43" i="35" s="1"/>
  <c r="S52" i="35" a="1"/>
  <c r="S52" i="35" s="1"/>
  <c r="S37" i="35" a="1"/>
  <c r="S37" i="35" s="1"/>
  <c r="S45" i="35" a="1"/>
  <c r="S45" i="35" s="1"/>
  <c r="S36" i="35" a="1"/>
  <c r="S36" i="35" s="1"/>
  <c r="S44" i="35" a="1"/>
  <c r="S44" i="35" s="1"/>
  <c r="N61" i="34" s="1" a="1"/>
  <c r="N61" i="34" s="1"/>
  <c r="Q61" i="34" s="1"/>
  <c r="S53" i="35" a="1"/>
  <c r="S53" i="35" s="1"/>
  <c r="N70" i="34" s="1" a="1"/>
  <c r="N70" i="34" s="1"/>
  <c r="Q70" i="34" s="1"/>
  <c r="S39" i="35" a="1"/>
  <c r="S39" i="35" s="1"/>
  <c r="S47" i="35" a="1"/>
  <c r="S47" i="35" s="1"/>
  <c r="S38" i="35" a="1"/>
  <c r="S38" i="35" s="1"/>
  <c r="S40" i="35" a="1"/>
  <c r="S40" i="35" s="1"/>
  <c r="S48" i="35" a="1"/>
  <c r="S48" i="35" s="1"/>
  <c r="S46" i="35" a="1"/>
  <c r="S46" i="35" s="1"/>
  <c r="S32" i="35" a="1"/>
  <c r="S32" i="35" s="1"/>
  <c r="W89" i="35"/>
  <c r="W31" i="35" s="1" a="1"/>
  <c r="W31" i="35" s="1"/>
  <c r="W35" i="35" a="1"/>
  <c r="W35" i="35" s="1"/>
  <c r="W43" i="35" a="1"/>
  <c r="W43" i="35" s="1"/>
  <c r="N152" i="34" s="1" a="1"/>
  <c r="N152" i="34" s="1"/>
  <c r="Q152" i="34" s="1"/>
  <c r="W52" i="35" a="1"/>
  <c r="W52" i="35" s="1"/>
  <c r="N161" i="34" s="1" a="1"/>
  <c r="N161" i="34" s="1"/>
  <c r="Q161" i="34" s="1"/>
  <c r="W39" i="35" a="1"/>
  <c r="W39" i="35" s="1"/>
  <c r="W36" i="35" a="1"/>
  <c r="W36" i="35" s="1"/>
  <c r="W44" i="35" a="1"/>
  <c r="W44" i="35" s="1"/>
  <c r="W53" i="35" a="1"/>
  <c r="W53" i="35" s="1"/>
  <c r="W37" i="35" a="1"/>
  <c r="W37" i="35" s="1"/>
  <c r="W45" i="35" a="1"/>
  <c r="W45" i="35" s="1"/>
  <c r="W38" i="35" a="1"/>
  <c r="W38" i="35" s="1"/>
  <c r="W46" i="35" a="1"/>
  <c r="W46" i="35" s="1"/>
  <c r="W47" i="35" a="1"/>
  <c r="W47" i="35" s="1"/>
  <c r="W33" i="35" a="1"/>
  <c r="W33" i="35" s="1"/>
  <c r="W41" i="35" a="1"/>
  <c r="W41" i="35" s="1"/>
  <c r="W49" i="35" a="1"/>
  <c r="W49" i="35" s="1"/>
  <c r="W50" i="35" a="1"/>
  <c r="W50" i="35" s="1"/>
  <c r="W32" i="35" a="1"/>
  <c r="W32" i="35" s="1"/>
  <c r="W40" i="35" a="1"/>
  <c r="W40" i="35" s="1"/>
  <c r="W51" i="35" a="1"/>
  <c r="W51" i="35" s="1"/>
  <c r="W48" i="35" a="1"/>
  <c r="W48" i="35" s="1"/>
  <c r="W34" i="35" a="1"/>
  <c r="W34" i="35" s="1"/>
  <c r="W42" i="35" a="1"/>
  <c r="W42" i="35" s="1"/>
  <c r="Q31" i="35" a="1"/>
  <c r="Q31" i="35" s="1"/>
  <c r="Q36" i="35" a="1"/>
  <c r="Q36" i="35" s="1"/>
  <c r="Q47" i="35" a="1"/>
  <c r="Q47" i="35" s="1"/>
  <c r="Q52" i="35" a="1"/>
  <c r="Q52" i="35" s="1"/>
  <c r="Q37" i="35" a="1"/>
  <c r="Q37" i="35" s="1"/>
  <c r="Q42" i="35" a="1"/>
  <c r="Q42" i="35" s="1"/>
  <c r="Q53" i="35" a="1"/>
  <c r="Q53" i="35" s="1"/>
  <c r="Q39" i="35" a="1"/>
  <c r="Q39" i="35" s="1"/>
  <c r="Q44" i="35" a="1"/>
  <c r="Q44" i="35" s="1"/>
  <c r="Q32" i="35" a="1"/>
  <c r="Q32" i="35" s="1"/>
  <c r="Q43" i="35" a="1"/>
  <c r="Q43" i="35" s="1"/>
  <c r="Q48" i="35" a="1"/>
  <c r="Q48" i="35" s="1"/>
  <c r="Q33" i="35" a="1"/>
  <c r="Q33" i="35" s="1"/>
  <c r="Q38" i="35" a="1"/>
  <c r="Q38" i="35" s="1"/>
  <c r="Q49" i="35" a="1"/>
  <c r="Q49" i="35" s="1"/>
  <c r="Q35" i="35" a="1"/>
  <c r="Q35" i="35" s="1"/>
  <c r="Q40" i="35" a="1"/>
  <c r="Q40" i="35" s="1"/>
  <c r="Q51" i="35" a="1"/>
  <c r="Q51" i="35" s="1"/>
  <c r="Q34" i="35" a="1"/>
  <c r="Q34" i="35" s="1"/>
  <c r="Q41" i="35" a="1"/>
  <c r="Q41" i="35" s="1"/>
  <c r="Q45" i="35" a="1"/>
  <c r="Q45" i="35" s="1"/>
  <c r="Q46" i="35" a="1"/>
  <c r="Q46" i="35" s="1"/>
  <c r="Q50" i="35" a="1"/>
  <c r="Q50" i="35" s="1"/>
  <c r="T89" i="35"/>
  <c r="T31" i="35" s="1" a="1"/>
  <c r="T31" i="35" s="1"/>
  <c r="N25" i="34" s="1" a="1"/>
  <c r="N25" i="34" s="1"/>
  <c r="Q25" i="34" s="1"/>
  <c r="T53" i="35" a="1"/>
  <c r="T53" i="35" s="1"/>
  <c r="T32" i="35" a="1"/>
  <c r="T32" i="35" s="1"/>
  <c r="T33" i="35" a="1"/>
  <c r="T33" i="35" s="1"/>
  <c r="T40" i="35" a="1"/>
  <c r="T40" i="35" s="1"/>
  <c r="T41" i="35" a="1"/>
  <c r="T41" i="35" s="1"/>
  <c r="T48" i="35" a="1"/>
  <c r="T48" i="35" s="1"/>
  <c r="T49" i="35" a="1"/>
  <c r="T49" i="35" s="1"/>
  <c r="T51" i="35" a="1"/>
  <c r="T51" i="35" s="1"/>
  <c r="T52" i="35" a="1"/>
  <c r="T52" i="35" s="1"/>
  <c r="T34" i="35" a="1"/>
  <c r="T34" i="35" s="1"/>
  <c r="T35" i="35" a="1"/>
  <c r="T35" i="35" s="1"/>
  <c r="N98" i="34" s="1" a="1"/>
  <c r="N98" i="34" s="1"/>
  <c r="Q98" i="34" s="1"/>
  <c r="T42" i="35" a="1"/>
  <c r="T42" i="35" s="1"/>
  <c r="T43" i="35" a="1"/>
  <c r="T43" i="35" s="1"/>
  <c r="T50" i="35" a="1"/>
  <c r="T50" i="35" s="1"/>
  <c r="T36" i="35" a="1"/>
  <c r="T36" i="35" s="1"/>
  <c r="T37" i="35" a="1"/>
  <c r="T37" i="35" s="1"/>
  <c r="T45" i="35" a="1"/>
  <c r="T45" i="35" s="1"/>
  <c r="T47" i="35" a="1"/>
  <c r="T47" i="35" s="1"/>
  <c r="N110" i="34" s="1" a="1"/>
  <c r="N110" i="34" s="1"/>
  <c r="Q110" i="34" s="1"/>
  <c r="T44" i="35" a="1"/>
  <c r="T44" i="35" s="1"/>
  <c r="T38" i="35" a="1"/>
  <c r="T38" i="35" s="1"/>
  <c r="T39" i="35" a="1"/>
  <c r="T39" i="35" s="1"/>
  <c r="T46" i="35" a="1"/>
  <c r="T46" i="35" s="1"/>
  <c r="M11" i="34" a="1"/>
  <c r="M11" i="34" s="1"/>
  <c r="M104" i="34" a="1"/>
  <c r="M104" i="34" s="1"/>
  <c r="M128" i="34" a="1"/>
  <c r="M128" i="34" s="1"/>
  <c r="M60" i="34" a="1"/>
  <c r="M60" i="34" s="1"/>
  <c r="M8" i="34" a="1"/>
  <c r="M8" i="34" s="1"/>
  <c r="M15" i="34" a="1"/>
  <c r="M15" i="34" s="1"/>
  <c r="M82" i="34" a="1"/>
  <c r="M82" i="34" s="1"/>
  <c r="M13" i="34" a="1"/>
  <c r="M13" i="34" s="1"/>
  <c r="M24" i="34" a="1"/>
  <c r="M24" i="34" s="1"/>
  <c r="M150" i="34" a="1"/>
  <c r="M150" i="34" s="1"/>
  <c r="M81" i="34" a="1"/>
  <c r="M81" i="34" s="1"/>
  <c r="M149" i="34" a="1"/>
  <c r="M149" i="34" s="1"/>
  <c r="M57" i="34" a="1"/>
  <c r="M57" i="34" s="1"/>
  <c r="M127" i="34" a="1"/>
  <c r="M127" i="34" s="1"/>
  <c r="M20" i="34" a="1"/>
  <c r="M20" i="34" s="1"/>
  <c r="M5" i="34" a="1"/>
  <c r="M5" i="34" s="1"/>
  <c r="M4" i="34" a="1"/>
  <c r="M4" i="34" s="1"/>
  <c r="M106" i="34" a="1"/>
  <c r="M106" i="34" s="1"/>
  <c r="M103" i="34" a="1"/>
  <c r="M103" i="34" s="1"/>
  <c r="M14" i="34" a="1"/>
  <c r="M14" i="34" s="1"/>
  <c r="M6" i="34" a="1"/>
  <c r="M6" i="34" s="1"/>
  <c r="M16" i="34" a="1"/>
  <c r="M16" i="34" s="1"/>
  <c r="M10" i="34" a="1"/>
  <c r="M10" i="34" s="1"/>
  <c r="M23" i="34" a="1"/>
  <c r="M23" i="34" s="1"/>
  <c r="M35" i="34" a="1"/>
  <c r="M35" i="34" s="1"/>
  <c r="M34" i="34" a="1"/>
  <c r="M34" i="34" s="1"/>
  <c r="M36" i="34" a="1"/>
  <c r="M36" i="34" s="1"/>
  <c r="M107" i="34" a="1"/>
  <c r="M107" i="34" s="1"/>
  <c r="M37" i="34" a="1"/>
  <c r="M37" i="34" s="1"/>
  <c r="M33" i="34" a="1"/>
  <c r="M33" i="34" s="1"/>
  <c r="M152" i="34" a="1"/>
  <c r="M152" i="34" s="1"/>
  <c r="M61" i="34" a="1"/>
  <c r="M61" i="34" s="1"/>
  <c r="M58" i="34" a="1"/>
  <c r="M58" i="34" s="1"/>
  <c r="M129" i="34" a="1"/>
  <c r="M129" i="34" s="1"/>
  <c r="M80" i="34" a="1"/>
  <c r="M80" i="34" s="1"/>
  <c r="M83" i="34" a="1"/>
  <c r="M83" i="34" s="1"/>
  <c r="M151" i="34" a="1"/>
  <c r="M151" i="34" s="1"/>
  <c r="M153" i="34" a="1"/>
  <c r="M153" i="34" s="1"/>
  <c r="M25" i="34" a="1"/>
  <c r="M25" i="34" s="1"/>
  <c r="M2" i="34" a="1"/>
  <c r="M2" i="34" s="1"/>
  <c r="N151" i="34" l="1" a="1"/>
  <c r="N151" i="34" s="1"/>
  <c r="Q151" i="34" s="1"/>
  <c r="P80" i="34"/>
  <c r="P81" i="34"/>
  <c r="P128" i="34"/>
  <c r="P56" i="34"/>
  <c r="P143" i="34"/>
  <c r="P136" i="34"/>
  <c r="P77" i="34"/>
  <c r="P93" i="34"/>
  <c r="P27" i="34"/>
  <c r="P129" i="34"/>
  <c r="P34" i="34"/>
  <c r="P106" i="34"/>
  <c r="P150" i="34"/>
  <c r="P104" i="34"/>
  <c r="P88" i="34"/>
  <c r="P116" i="34"/>
  <c r="P102" i="34"/>
  <c r="P68" i="34"/>
  <c r="P54" i="34"/>
  <c r="P135" i="34"/>
  <c r="P69" i="34"/>
  <c r="P105" i="34"/>
  <c r="P121" i="34"/>
  <c r="P35" i="34"/>
  <c r="P24" i="34"/>
  <c r="P11" i="34"/>
  <c r="P21" i="34"/>
  <c r="P160" i="34"/>
  <c r="P97" i="34"/>
  <c r="P146" i="34"/>
  <c r="P74" i="34"/>
  <c r="P115" i="34"/>
  <c r="P114" i="34"/>
  <c r="P138" i="34"/>
  <c r="P73" i="34"/>
  <c r="P117" i="34"/>
  <c r="P19" i="34"/>
  <c r="P50" i="34"/>
  <c r="P158" i="34"/>
  <c r="P133" i="34"/>
  <c r="P162" i="34"/>
  <c r="P161" i="34"/>
  <c r="P122" i="34"/>
  <c r="P58" i="34"/>
  <c r="P4" i="34"/>
  <c r="P140" i="34"/>
  <c r="P96" i="34"/>
  <c r="P48" i="34"/>
  <c r="P137" i="34"/>
  <c r="P61" i="34"/>
  <c r="P23" i="34"/>
  <c r="P5" i="34"/>
  <c r="P13" i="34"/>
  <c r="P144" i="34"/>
  <c r="P63" i="34"/>
  <c r="P159" i="34"/>
  <c r="P141" i="34"/>
  <c r="P38" i="34"/>
  <c r="P78" i="34"/>
  <c r="P101" i="34"/>
  <c r="P84" i="34"/>
  <c r="P110" i="34"/>
  <c r="P91" i="34"/>
  <c r="P40" i="34"/>
  <c r="P47" i="34"/>
  <c r="P100" i="34"/>
  <c r="P95" i="34"/>
  <c r="P103" i="34"/>
  <c r="P7" i="34"/>
  <c r="P147" i="34"/>
  <c r="P112" i="34"/>
  <c r="P85" i="34"/>
  <c r="P152" i="34"/>
  <c r="P20" i="34"/>
  <c r="P82" i="34"/>
  <c r="P52" i="34"/>
  <c r="P142" i="34"/>
  <c r="P109" i="34"/>
  <c r="P55" i="34"/>
  <c r="P120" i="34"/>
  <c r="P113" i="34"/>
  <c r="P148" i="34"/>
  <c r="P132" i="34"/>
  <c r="P86" i="34"/>
  <c r="P111" i="34"/>
  <c r="P79" i="34"/>
  <c r="P26" i="34"/>
  <c r="P90" i="34"/>
  <c r="P76" i="34"/>
  <c r="P36" i="34"/>
  <c r="P22" i="34"/>
  <c r="P156" i="34"/>
  <c r="P123" i="34"/>
  <c r="P39" i="34"/>
  <c r="P25" i="34"/>
  <c r="P10" i="34"/>
  <c r="P33" i="34"/>
  <c r="P127" i="34"/>
  <c r="P70" i="34"/>
  <c r="P64" i="34"/>
  <c r="P65" i="34"/>
  <c r="P118" i="34"/>
  <c r="P139" i="34"/>
  <c r="P46" i="34"/>
  <c r="P119" i="34"/>
  <c r="P98" i="34"/>
  <c r="P12" i="34"/>
  <c r="P51" i="34"/>
  <c r="P145" i="34"/>
  <c r="P108" i="34"/>
  <c r="P89" i="34"/>
  <c r="P29" i="34"/>
  <c r="P157" i="34"/>
  <c r="P134" i="34"/>
  <c r="P130" i="34"/>
  <c r="P45" i="34"/>
  <c r="P41" i="34"/>
  <c r="P72" i="34"/>
  <c r="P131" i="34"/>
  <c r="P31" i="34"/>
  <c r="P75" i="34"/>
  <c r="P49" i="34"/>
  <c r="P42" i="34"/>
  <c r="P153" i="34"/>
  <c r="P16" i="34"/>
  <c r="P15" i="34"/>
  <c r="P154" i="34"/>
  <c r="P66" i="34"/>
  <c r="P53" i="34"/>
  <c r="P126" i="34"/>
  <c r="P71" i="34"/>
  <c r="P125" i="34"/>
  <c r="P151" i="34"/>
  <c r="P37" i="34"/>
  <c r="P6" i="34"/>
  <c r="P57" i="34"/>
  <c r="P8" i="34"/>
  <c r="P83" i="34"/>
  <c r="P107" i="34"/>
  <c r="P14" i="34"/>
  <c r="P149" i="34"/>
  <c r="P60" i="34"/>
  <c r="P17" i="34"/>
  <c r="P67" i="34"/>
  <c r="P155" i="34"/>
  <c r="P59" i="34"/>
  <c r="P28" i="34"/>
  <c r="P62" i="34"/>
  <c r="P99" i="34"/>
  <c r="P94" i="34"/>
  <c r="P92" i="34"/>
  <c r="P30" i="34"/>
  <c r="P32" i="34"/>
  <c r="P87" i="34"/>
  <c r="P44" i="34"/>
  <c r="P124" i="34"/>
  <c r="P43" i="34"/>
  <c r="N15" i="34" a="1"/>
  <c r="N15" i="34" s="1"/>
  <c r="Q15" i="34" s="1"/>
  <c r="N6" i="34" a="1"/>
  <c r="N6" i="34" s="1"/>
  <c r="Q6" i="34" s="1"/>
  <c r="N10" i="34" a="1"/>
  <c r="N10" i="34" s="1"/>
  <c r="Q10" i="34" s="1"/>
  <c r="N21" i="34" a="1"/>
  <c r="N21" i="34" s="1"/>
  <c r="Q21" i="34" s="1"/>
  <c r="N20" i="34" a="1"/>
  <c r="N20" i="34" s="1"/>
  <c r="Q20" i="34" s="1"/>
  <c r="N24" i="34" a="1"/>
  <c r="N24" i="34" s="1"/>
  <c r="Q24" i="34" s="1"/>
  <c r="N9" i="34" a="1"/>
  <c r="N9" i="34" s="1"/>
  <c r="N13" i="34" a="1"/>
  <c r="N13" i="34" s="1"/>
  <c r="Q13" i="34" s="1"/>
  <c r="N16" i="34" a="1"/>
  <c r="N16" i="34" s="1"/>
  <c r="Q16" i="34" s="1"/>
  <c r="N4" i="34" a="1"/>
  <c r="N4" i="34" s="1"/>
  <c r="Q4" i="34" s="1"/>
  <c r="N8" i="34" a="1"/>
  <c r="N8" i="34" s="1"/>
  <c r="Q8" i="34" s="1"/>
  <c r="N11" i="34" a="1"/>
  <c r="N11" i="34" s="1"/>
  <c r="Q11" i="34" s="1"/>
  <c r="N17" i="34" a="1"/>
  <c r="N17" i="34" s="1"/>
  <c r="Q17" i="34" s="1"/>
  <c r="N12" i="34" a="1"/>
  <c r="N12" i="34" s="1"/>
  <c r="Q12" i="34" s="1"/>
  <c r="N19" i="34" a="1"/>
  <c r="N19" i="34" s="1"/>
  <c r="Q19" i="34" s="1"/>
  <c r="N23" i="34" a="1"/>
  <c r="N23" i="34" s="1"/>
  <c r="Q23" i="34" s="1"/>
  <c r="N5" i="34" a="1"/>
  <c r="N5" i="34" s="1"/>
  <c r="Q5" i="34" s="1"/>
  <c r="N14" i="34" a="1"/>
  <c r="N14" i="34" s="1"/>
  <c r="Q14" i="34" s="1"/>
  <c r="N18" i="34" a="1"/>
  <c r="N18" i="34" s="1"/>
  <c r="N22" i="34" a="1"/>
  <c r="N22" i="34" s="1"/>
  <c r="Q22" i="34" s="1"/>
  <c r="N3" i="34" a="1"/>
  <c r="N3" i="34" s="1"/>
  <c r="N7" i="34" a="1"/>
  <c r="N7" i="34" s="1"/>
  <c r="Q7" i="34" s="1"/>
  <c r="P2" i="34"/>
  <c r="Y89" i="35" a="1"/>
  <c r="Y33" i="35" s="1" a="1"/>
  <c r="Y33" i="35" s="1"/>
  <c r="AC89" i="35" a="1"/>
  <c r="X89" i="35" a="1"/>
  <c r="Z89" i="35" a="1"/>
  <c r="AA89" i="35" a="1"/>
  <c r="AD89" i="35" a="1"/>
  <c r="AB89" i="35" a="1"/>
  <c r="Q3" i="34" l="1"/>
  <c r="Q18" i="34"/>
  <c r="Q9" i="34"/>
  <c r="N127" i="34" a="1"/>
  <c r="N127" i="34" s="1"/>
  <c r="N141" i="34" a="1"/>
  <c r="N141" i="34" s="1"/>
  <c r="N26" i="34" a="1"/>
  <c r="N26" i="34" s="1"/>
  <c r="N40" i="34" a="1"/>
  <c r="N40" i="34" s="1"/>
  <c r="N133" i="34" a="1"/>
  <c r="N133" i="34" s="1"/>
  <c r="N124" i="34" a="1"/>
  <c r="N124" i="34" s="1"/>
  <c r="N86" i="34" a="1"/>
  <c r="N86" i="34" s="1"/>
  <c r="N87" i="34" a="1"/>
  <c r="N87" i="34" s="1"/>
  <c r="N159" i="34" a="1"/>
  <c r="N159" i="34" s="1"/>
  <c r="N55" i="34" a="1"/>
  <c r="N55" i="34" s="1"/>
  <c r="N118" i="34" a="1"/>
  <c r="N118" i="34" s="1"/>
  <c r="N42" i="34" a="1"/>
  <c r="N42" i="34" s="1"/>
  <c r="N77" i="34" a="1"/>
  <c r="N77" i="34" s="1"/>
  <c r="N119" i="34" a="1"/>
  <c r="N119" i="34" s="1"/>
  <c r="N147" i="34" a="1"/>
  <c r="N147" i="34" s="1"/>
  <c r="N53" i="34" a="1"/>
  <c r="N53" i="34" s="1"/>
  <c r="N71" i="34" a="1"/>
  <c r="N71" i="34" s="1"/>
  <c r="N122" i="34" a="1"/>
  <c r="N122" i="34" s="1"/>
  <c r="N88" i="34" a="1"/>
  <c r="N88" i="34" s="1"/>
  <c r="N78" i="34" a="1"/>
  <c r="N78" i="34" s="1"/>
  <c r="N46" i="34" a="1"/>
  <c r="N46" i="34" s="1"/>
  <c r="N73" i="34" a="1"/>
  <c r="N73" i="34" s="1"/>
  <c r="N81" i="34" a="1"/>
  <c r="N81" i="34" s="1"/>
  <c r="N56" i="34" a="1"/>
  <c r="N56" i="34" s="1"/>
  <c r="N106" i="34" a="1"/>
  <c r="N106" i="34" s="1"/>
  <c r="N130" i="34" a="1"/>
  <c r="N130" i="34" s="1"/>
  <c r="N51" i="34" a="1"/>
  <c r="N51" i="34" s="1"/>
  <c r="N62" i="34" a="1"/>
  <c r="N62" i="34" s="1"/>
  <c r="N91" i="34" a="1"/>
  <c r="N91" i="34" s="1"/>
  <c r="N105" i="34" a="1"/>
  <c r="N105" i="34" s="1"/>
  <c r="N114" i="34" a="1"/>
  <c r="N114" i="34" s="1"/>
  <c r="N143" i="34" a="1"/>
  <c r="N143" i="34" s="1"/>
  <c r="N146" i="34" a="1"/>
  <c r="N146" i="34" s="1"/>
  <c r="N68" i="34" a="1"/>
  <c r="N68" i="34" s="1"/>
  <c r="N136" i="34" a="1"/>
  <c r="N136" i="34" s="1"/>
  <c r="N135" i="34" a="1"/>
  <c r="N135" i="34" s="1"/>
  <c r="N52" i="34" a="1"/>
  <c r="N52" i="34" s="1"/>
  <c r="N155" i="34" a="1"/>
  <c r="N155" i="34" s="1"/>
  <c r="N47" i="34" a="1"/>
  <c r="N47" i="34" s="1"/>
  <c r="N29" i="34" a="1"/>
  <c r="N29" i="34" s="1"/>
  <c r="N131" i="34" a="1"/>
  <c r="N131" i="34" s="1"/>
  <c r="N139" i="34" a="1"/>
  <c r="N139" i="34" s="1"/>
  <c r="N75" i="34" a="1"/>
  <c r="N75" i="34" s="1"/>
  <c r="N93" i="34" a="1"/>
  <c r="N93" i="34" s="1"/>
  <c r="N154" i="34" a="1"/>
  <c r="N154" i="34" s="1"/>
  <c r="N90" i="34" a="1"/>
  <c r="N90" i="34" s="1"/>
  <c r="N116" i="34" a="1"/>
  <c r="N116" i="34" s="1"/>
  <c r="N63" i="34" a="1"/>
  <c r="N63" i="34" s="1"/>
  <c r="N50" i="34" a="1"/>
  <c r="N50" i="34" s="1"/>
  <c r="N150" i="34" a="1"/>
  <c r="N150" i="34" s="1"/>
  <c r="N66" i="34" a="1"/>
  <c r="N66" i="34" s="1"/>
  <c r="N57" i="34" a="1"/>
  <c r="N57" i="34" s="1"/>
  <c r="N144" i="34" a="1"/>
  <c r="N144" i="34" s="1"/>
  <c r="N140" i="34" a="1"/>
  <c r="N140" i="34" s="1"/>
  <c r="N89" i="34" a="1"/>
  <c r="N89" i="34" s="1"/>
  <c r="N138" i="34" a="1"/>
  <c r="N138" i="34" s="1"/>
  <c r="N149" i="34" a="1"/>
  <c r="N149" i="34" s="1"/>
  <c r="N48" i="34" a="1"/>
  <c r="N48" i="34" s="1"/>
  <c r="N145" i="34" a="1"/>
  <c r="N145" i="34" s="1"/>
  <c r="N34" i="34" a="1"/>
  <c r="N34" i="34" s="1"/>
  <c r="N31" i="34" a="1"/>
  <c r="N31" i="34" s="1"/>
  <c r="N120" i="34" a="1"/>
  <c r="N120" i="34" s="1"/>
  <c r="N132" i="34" a="1"/>
  <c r="N132" i="34" s="1"/>
  <c r="N74" i="34" a="1"/>
  <c r="N74" i="34" s="1"/>
  <c r="N80" i="34" a="1"/>
  <c r="N80" i="34" s="1"/>
  <c r="N30" i="34" a="1"/>
  <c r="N30" i="34" s="1"/>
  <c r="N156" i="34" a="1"/>
  <c r="N156" i="34" s="1"/>
  <c r="N108" i="34" a="1"/>
  <c r="N108" i="34" s="1"/>
  <c r="N153" i="34" a="1"/>
  <c r="N153" i="34" s="1"/>
  <c r="N69" i="34" a="1"/>
  <c r="N69" i="34" s="1"/>
  <c r="N67" i="34" a="1"/>
  <c r="N67" i="34" s="1"/>
  <c r="N95" i="34" a="1"/>
  <c r="N95" i="34" s="1"/>
  <c r="N148" i="34" a="1"/>
  <c r="N148" i="34" s="1"/>
  <c r="N37" i="34" a="1"/>
  <c r="N37" i="34" s="1"/>
  <c r="N83" i="34" a="1"/>
  <c r="N83" i="34" s="1"/>
  <c r="N64" i="34" a="1"/>
  <c r="N64" i="34" s="1"/>
  <c r="N94" i="34" a="1"/>
  <c r="N94" i="34" s="1"/>
  <c r="N126" i="34" a="1"/>
  <c r="N126" i="34" s="1"/>
  <c r="N60" i="34" a="1"/>
  <c r="N60" i="34" s="1"/>
  <c r="N58" i="34" a="1"/>
  <c r="N58" i="34" s="1"/>
  <c r="N38" i="34" a="1"/>
  <c r="N38" i="34" s="1"/>
  <c r="N27" i="34" a="1"/>
  <c r="N27" i="34" s="1"/>
  <c r="N115" i="34" a="1"/>
  <c r="N115" i="34" s="1"/>
  <c r="N128" i="34" a="1"/>
  <c r="N128" i="34" s="1"/>
  <c r="N134" i="34" a="1"/>
  <c r="N134" i="34" s="1"/>
  <c r="N72" i="34" a="1"/>
  <c r="N72" i="34" s="1"/>
  <c r="N82" i="34" a="1"/>
  <c r="N82" i="34" s="1"/>
  <c r="N41" i="34" a="1"/>
  <c r="N41" i="34" s="1"/>
  <c r="N157" i="34" a="1"/>
  <c r="N157" i="34" s="1"/>
  <c r="N107" i="34" a="1"/>
  <c r="N107" i="34" s="1"/>
  <c r="N100" i="34" a="1"/>
  <c r="N100" i="34" s="1"/>
  <c r="N85" i="34" a="1"/>
  <c r="N85" i="34" s="1"/>
  <c r="N49" i="34" a="1"/>
  <c r="N49" i="34" s="1"/>
  <c r="N142" i="34" a="1"/>
  <c r="N142" i="34" s="1"/>
  <c r="N28" i="34" a="1"/>
  <c r="N28" i="34" s="1"/>
  <c r="N76" i="34" a="1"/>
  <c r="N76" i="34" s="1"/>
  <c r="N33" i="34" a="1"/>
  <c r="N33" i="34" s="1"/>
  <c r="N35" i="34" a="1"/>
  <c r="N35" i="34" s="1"/>
  <c r="N117" i="34" a="1"/>
  <c r="N117" i="34" s="1"/>
  <c r="N2" i="34" a="1"/>
  <c r="N2" i="34" s="1"/>
  <c r="N54" i="34" a="1"/>
  <c r="N54" i="34" s="1"/>
  <c r="N36" i="34" a="1"/>
  <c r="N36" i="34" s="1"/>
  <c r="N44" i="34" a="1"/>
  <c r="N44" i="34" s="1"/>
  <c r="N96" i="34" a="1"/>
  <c r="N96" i="34" s="1"/>
  <c r="N121" i="34" a="1"/>
  <c r="N121" i="34" s="1"/>
  <c r="N129" i="34" a="1"/>
  <c r="N129" i="34" s="1"/>
  <c r="N84" i="34" a="1"/>
  <c r="N84" i="34" s="1"/>
  <c r="N125" i="34" a="1"/>
  <c r="N125" i="34" s="1"/>
  <c r="N43" i="34" a="1"/>
  <c r="N43" i="34" s="1"/>
  <c r="N111" i="34" a="1"/>
  <c r="N111" i="34" s="1"/>
  <c r="N103" i="34" a="1"/>
  <c r="N103" i="34" s="1"/>
  <c r="N104" i="34" a="1"/>
  <c r="N104" i="34" s="1"/>
  <c r="N65" i="34" a="1"/>
  <c r="N65" i="34" s="1"/>
  <c r="N162" i="34" a="1"/>
  <c r="N162" i="34" s="1"/>
  <c r="N112" i="34" a="1"/>
  <c r="N112" i="34" s="1"/>
  <c r="N158" i="34" a="1"/>
  <c r="N158" i="34" s="1"/>
  <c r="N39" i="34" a="1"/>
  <c r="N39" i="34" s="1"/>
  <c r="N32" i="34" a="1"/>
  <c r="N32" i="34" s="1"/>
  <c r="N113" i="34" a="1"/>
  <c r="N113" i="34" s="1"/>
  <c r="N137" i="34" a="1"/>
  <c r="N137" i="34" s="1"/>
  <c r="N92" i="34" a="1"/>
  <c r="N92" i="34" s="1"/>
  <c r="N79" i="34" a="1"/>
  <c r="N79" i="34" s="1"/>
  <c r="N123" i="34" a="1"/>
  <c r="N123" i="34" s="1"/>
  <c r="N45" i="34" a="1"/>
  <c r="N45" i="34" s="1"/>
  <c r="N109" i="34" a="1"/>
  <c r="N109" i="34" s="1"/>
  <c r="N101" i="34" a="1"/>
  <c r="N101" i="34" s="1"/>
  <c r="N102" i="34" a="1"/>
  <c r="N102" i="34" s="1"/>
  <c r="N160" i="34" a="1"/>
  <c r="N160" i="34" s="1"/>
  <c r="N97" i="34" a="1"/>
  <c r="N97" i="34" s="1"/>
  <c r="N99" i="34" a="1"/>
  <c r="N99" i="34" s="1"/>
  <c r="Y35" i="35" a="1"/>
  <c r="Y35" i="35" s="1"/>
  <c r="Y42" i="35" a="1"/>
  <c r="Y42" i="35" s="1"/>
  <c r="Y43" i="35" a="1"/>
  <c r="Y43" i="35" s="1"/>
  <c r="Y36" i="35" a="1"/>
  <c r="Y36" i="35" s="1"/>
  <c r="Y44" i="35" a="1"/>
  <c r="Y44" i="35" s="1"/>
  <c r="Y53" i="35" a="1"/>
  <c r="Y53" i="35" s="1"/>
  <c r="Y50" i="35" a="1"/>
  <c r="Y50" i="35" s="1"/>
  <c r="Y46" i="35" a="1"/>
  <c r="Y46" i="35" s="1"/>
  <c r="Y40" i="35" a="1"/>
  <c r="Y40" i="35" s="1"/>
  <c r="Y39" i="35" a="1"/>
  <c r="Y39" i="35" s="1"/>
  <c r="Y32" i="35" a="1"/>
  <c r="Y32" i="35" s="1"/>
  <c r="Y48" i="35" a="1"/>
  <c r="Y48" i="35" s="1"/>
  <c r="Y41" i="35" a="1"/>
  <c r="Y41" i="35" s="1"/>
  <c r="Y51" i="35" a="1"/>
  <c r="Y51" i="35" s="1"/>
  <c r="Y47" i="35" a="1"/>
  <c r="Y47" i="35" s="1"/>
  <c r="Y45" i="35" a="1"/>
  <c r="Y45" i="35" s="1"/>
  <c r="Y38" i="35" a="1"/>
  <c r="Y38" i="35" s="1"/>
  <c r="Y89" i="35"/>
  <c r="Y31" i="35" s="1" a="1"/>
  <c r="Y31" i="35" s="1"/>
  <c r="Y37" i="35" a="1"/>
  <c r="Y37" i="35" s="1"/>
  <c r="Y34" i="35" a="1"/>
  <c r="Y34" i="35" s="1"/>
  <c r="Y52" i="35" a="1"/>
  <c r="Y52" i="35" s="1"/>
  <c r="Y49" i="35" a="1"/>
  <c r="Y49" i="35" s="1"/>
  <c r="AA89" i="35"/>
  <c r="AA31" i="35" s="1" a="1"/>
  <c r="AA31" i="35" s="1"/>
  <c r="AA32" i="35" a="1"/>
  <c r="AA32" i="35" s="1"/>
  <c r="AA36" i="35" a="1"/>
  <c r="AA36" i="35" s="1"/>
  <c r="O30" i="34" s="1" a="1"/>
  <c r="O30" i="34" s="1"/>
  <c r="R30" i="34" s="1"/>
  <c r="AA40" i="35" a="1"/>
  <c r="AA40" i="35" s="1"/>
  <c r="AA44" i="35" a="1"/>
  <c r="AA44" i="35" s="1"/>
  <c r="O38" i="34" s="1" a="1"/>
  <c r="O38" i="34" s="1"/>
  <c r="R38" i="34" s="1"/>
  <c r="AA48" i="35" a="1"/>
  <c r="AA48" i="35" s="1"/>
  <c r="AA52" i="35" a="1"/>
  <c r="AA52" i="35" s="1"/>
  <c r="AA35" i="35" a="1"/>
  <c r="AA35" i="35" s="1"/>
  <c r="AA39" i="35" a="1"/>
  <c r="AA39" i="35" s="1"/>
  <c r="AA43" i="35" a="1"/>
  <c r="AA43" i="35" s="1"/>
  <c r="AA47" i="35" a="1"/>
  <c r="AA47" i="35" s="1"/>
  <c r="AA51" i="35" a="1"/>
  <c r="AA51" i="35" s="1"/>
  <c r="AA34" i="35" a="1"/>
  <c r="AA34" i="35" s="1"/>
  <c r="AA38" i="35" a="1"/>
  <c r="AA38" i="35" s="1"/>
  <c r="AA42" i="35" a="1"/>
  <c r="AA42" i="35" s="1"/>
  <c r="AA46" i="35" a="1"/>
  <c r="AA46" i="35" s="1"/>
  <c r="AA33" i="35" a="1"/>
  <c r="AA33" i="35" s="1"/>
  <c r="O27" i="34" s="1" a="1"/>
  <c r="O27" i="34" s="1"/>
  <c r="R27" i="34" s="1"/>
  <c r="AA37" i="35" a="1"/>
  <c r="AA37" i="35" s="1"/>
  <c r="AA41" i="35" a="1"/>
  <c r="AA41" i="35" s="1"/>
  <c r="AA45" i="35" a="1"/>
  <c r="AA45" i="35" s="1"/>
  <c r="AA49" i="35" a="1"/>
  <c r="AA49" i="35" s="1"/>
  <c r="AA53" i="35" a="1"/>
  <c r="AA53" i="35" s="1"/>
  <c r="AA50" i="35" a="1"/>
  <c r="AA50" i="35" s="1"/>
  <c r="Z89" i="35"/>
  <c r="Z31" i="35" s="1" a="1"/>
  <c r="Z31" i="35" s="1"/>
  <c r="Z35" i="35" a="1"/>
  <c r="Z35" i="35" s="1"/>
  <c r="Z39" i="35" a="1"/>
  <c r="Z39" i="35" s="1"/>
  <c r="Z43" i="35" a="1"/>
  <c r="Z43" i="35" s="1"/>
  <c r="Z47" i="35" a="1"/>
  <c r="Z47" i="35" s="1"/>
  <c r="Z51" i="35" a="1"/>
  <c r="Z51" i="35" s="1"/>
  <c r="Z34" i="35" a="1"/>
  <c r="Z34" i="35" s="1"/>
  <c r="Z38" i="35" a="1"/>
  <c r="Z38" i="35" s="1"/>
  <c r="Z42" i="35" a="1"/>
  <c r="Z42" i="35" s="1"/>
  <c r="Z46" i="35" a="1"/>
  <c r="Z46" i="35" s="1"/>
  <c r="Z50" i="35" a="1"/>
  <c r="Z50" i="35" s="1"/>
  <c r="Z33" i="35" a="1"/>
  <c r="Z33" i="35" s="1"/>
  <c r="O50" i="34" s="1" a="1"/>
  <c r="O50" i="34" s="1"/>
  <c r="R50" i="34" s="1"/>
  <c r="Z37" i="35" a="1"/>
  <c r="Z37" i="35" s="1"/>
  <c r="Z41" i="35" a="1"/>
  <c r="Z41" i="35" s="1"/>
  <c r="Z45" i="35" a="1"/>
  <c r="Z45" i="35" s="1"/>
  <c r="Z49" i="35" a="1"/>
  <c r="Z49" i="35" s="1"/>
  <c r="Z32" i="35" a="1"/>
  <c r="Z32" i="35" s="1"/>
  <c r="Z36" i="35" a="1"/>
  <c r="Z36" i="35" s="1"/>
  <c r="Z40" i="35" a="1"/>
  <c r="Z40" i="35" s="1"/>
  <c r="Z44" i="35" a="1"/>
  <c r="Z44" i="35" s="1"/>
  <c r="Z48" i="35" a="1"/>
  <c r="Z48" i="35" s="1"/>
  <c r="Z52" i="35" a="1"/>
  <c r="Z52" i="35" s="1"/>
  <c r="Z53" i="35" a="1"/>
  <c r="Z53" i="35" s="1"/>
  <c r="AB89" i="35"/>
  <c r="AB31" i="35" s="1" a="1"/>
  <c r="AB31" i="35" s="1"/>
  <c r="AB32" i="35" a="1"/>
  <c r="AB32" i="35" s="1"/>
  <c r="AB36" i="35" a="1"/>
  <c r="AB36" i="35" s="1"/>
  <c r="AB40" i="35" a="1"/>
  <c r="AB40" i="35" s="1"/>
  <c r="AB44" i="35" a="1"/>
  <c r="AB44" i="35" s="1"/>
  <c r="AB48" i="35" a="1"/>
  <c r="AB48" i="35" s="1"/>
  <c r="AB52" i="35" a="1"/>
  <c r="AB52" i="35" s="1"/>
  <c r="AB35" i="35" a="1"/>
  <c r="AB35" i="35" s="1"/>
  <c r="AB39" i="35" a="1"/>
  <c r="AB39" i="35" s="1"/>
  <c r="AB43" i="35" a="1"/>
  <c r="AB43" i="35" s="1"/>
  <c r="AB47" i="35" a="1"/>
  <c r="AB47" i="35" s="1"/>
  <c r="AB51" i="35" a="1"/>
  <c r="AB51" i="35" s="1"/>
  <c r="AB34" i="35" a="1"/>
  <c r="AB34" i="35" s="1"/>
  <c r="AB38" i="35" a="1"/>
  <c r="AB38" i="35" s="1"/>
  <c r="AB42" i="35" a="1"/>
  <c r="AB42" i="35" s="1"/>
  <c r="AB46" i="35" a="1"/>
  <c r="AB46" i="35" s="1"/>
  <c r="AB50" i="35" a="1"/>
  <c r="AB50" i="35" s="1"/>
  <c r="AB33" i="35" a="1"/>
  <c r="AB33" i="35" s="1"/>
  <c r="AB37" i="35" a="1"/>
  <c r="AB37" i="35" s="1"/>
  <c r="AB41" i="35" a="1"/>
  <c r="AB41" i="35" s="1"/>
  <c r="AB45" i="35" a="1"/>
  <c r="AB45" i="35" s="1"/>
  <c r="AB49" i="35" a="1"/>
  <c r="AB49" i="35" s="1"/>
  <c r="AB53" i="35" a="1"/>
  <c r="AB53" i="35" s="1"/>
  <c r="X89" i="35"/>
  <c r="X31" i="35" s="1" a="1"/>
  <c r="X31" i="35" s="1"/>
  <c r="O2" i="34" s="1" a="1"/>
  <c r="O2" i="34" s="1"/>
  <c r="X36" i="35" a="1"/>
  <c r="X36" i="35" s="1"/>
  <c r="X47" i="35" a="1"/>
  <c r="X47" i="35" s="1"/>
  <c r="X52" i="35" a="1"/>
  <c r="X52" i="35" s="1"/>
  <c r="X37" i="35" a="1"/>
  <c r="X37" i="35" s="1"/>
  <c r="X42" i="35" a="1"/>
  <c r="X42" i="35" s="1"/>
  <c r="X53" i="35" a="1"/>
  <c r="X53" i="35" s="1"/>
  <c r="X39" i="35" a="1"/>
  <c r="X39" i="35" s="1"/>
  <c r="X32" i="35" a="1"/>
  <c r="X32" i="35" s="1"/>
  <c r="X43" i="35" a="1"/>
  <c r="X43" i="35" s="1"/>
  <c r="X48" i="35" a="1"/>
  <c r="X48" i="35" s="1"/>
  <c r="X33" i="35" a="1"/>
  <c r="X33" i="35" s="1"/>
  <c r="X38" i="35" a="1"/>
  <c r="X38" i="35" s="1"/>
  <c r="X49" i="35" a="1"/>
  <c r="X49" i="35" s="1"/>
  <c r="X44" i="35" a="1"/>
  <c r="X44" i="35" s="1"/>
  <c r="X35" i="35" a="1"/>
  <c r="X35" i="35" s="1"/>
  <c r="X40" i="35" a="1"/>
  <c r="X40" i="35" s="1"/>
  <c r="X51" i="35" a="1"/>
  <c r="X51" i="35" s="1"/>
  <c r="X45" i="35" a="1"/>
  <c r="X45" i="35" s="1"/>
  <c r="X50" i="35" a="1"/>
  <c r="X50" i="35" s="1"/>
  <c r="X46" i="35" a="1"/>
  <c r="X46" i="35" s="1"/>
  <c r="X34" i="35" a="1"/>
  <c r="X34" i="35" s="1"/>
  <c r="X41" i="35" a="1"/>
  <c r="X41" i="35" s="1"/>
  <c r="AD46" i="35" a="1"/>
  <c r="AD46" i="35" s="1"/>
  <c r="AD41" i="35" a="1"/>
  <c r="AD41" i="35" s="1"/>
  <c r="AD35" i="35" a="1"/>
  <c r="AD35" i="35" s="1"/>
  <c r="AD42" i="35" a="1"/>
  <c r="AD42" i="35" s="1"/>
  <c r="AD36" i="35" a="1"/>
  <c r="AD36" i="35" s="1"/>
  <c r="AD50" i="35" a="1"/>
  <c r="AD50" i="35" s="1"/>
  <c r="O159" i="34" s="1" a="1"/>
  <c r="O159" i="34" s="1"/>
  <c r="R159" i="34" s="1"/>
  <c r="AD43" i="35" a="1"/>
  <c r="AD43" i="35" s="1"/>
  <c r="AD52" i="35" a="1"/>
  <c r="AD52" i="35" s="1"/>
  <c r="AD33" i="35" a="1"/>
  <c r="AD33" i="35" s="1"/>
  <c r="AD51" i="35" a="1"/>
  <c r="AD51" i="35" s="1"/>
  <c r="AD38" i="35" a="1"/>
  <c r="AD38" i="35" s="1"/>
  <c r="O147" i="34" s="1" a="1"/>
  <c r="O147" i="34" s="1"/>
  <c r="R147" i="34" s="1"/>
  <c r="AD48" i="35" a="1"/>
  <c r="AD48" i="35" s="1"/>
  <c r="AD44" i="35" a="1"/>
  <c r="AD44" i="35" s="1"/>
  <c r="AD47" i="35" a="1"/>
  <c r="AD47" i="35" s="1"/>
  <c r="AD53" i="35" a="1"/>
  <c r="AD53" i="35" s="1"/>
  <c r="AD40" i="35" a="1"/>
  <c r="AD40" i="35" s="1"/>
  <c r="AD34" i="35" a="1"/>
  <c r="AD34" i="35" s="1"/>
  <c r="AD32" i="35" a="1"/>
  <c r="AD32" i="35" s="1"/>
  <c r="AD39" i="35" a="1"/>
  <c r="AD39" i="35" s="1"/>
  <c r="AD89" i="35"/>
  <c r="AD31" i="35" s="1" a="1"/>
  <c r="AD31" i="35" s="1"/>
  <c r="AD49" i="35" a="1"/>
  <c r="AD49" i="35" s="1"/>
  <c r="AD37" i="35" a="1"/>
  <c r="AD37" i="35" s="1"/>
  <c r="AD45" i="35" a="1"/>
  <c r="AD45" i="35" s="1"/>
  <c r="AC89" i="35"/>
  <c r="AC31" i="35" s="1" a="1"/>
  <c r="AC31" i="35" s="1"/>
  <c r="AC33" i="35" a="1"/>
  <c r="AC33" i="35" s="1"/>
  <c r="O73" i="34" s="1" a="1"/>
  <c r="O73" i="34" s="1"/>
  <c r="R73" i="34" s="1"/>
  <c r="AC37" i="35" a="1"/>
  <c r="AC37" i="35" s="1"/>
  <c r="AC41" i="35" a="1"/>
  <c r="AC41" i="35" s="1"/>
  <c r="AC45" i="35" a="1"/>
  <c r="AC45" i="35" s="1"/>
  <c r="AC49" i="35" a="1"/>
  <c r="AC49" i="35" s="1"/>
  <c r="O89" i="34" s="1" a="1"/>
  <c r="O89" i="34" s="1"/>
  <c r="R89" i="34" s="1"/>
  <c r="AC53" i="35" a="1"/>
  <c r="AC53" i="35" s="1"/>
  <c r="AC32" i="35" a="1"/>
  <c r="AC32" i="35" s="1"/>
  <c r="AC36" i="35" a="1"/>
  <c r="AC36" i="35" s="1"/>
  <c r="AC40" i="35" a="1"/>
  <c r="AC40" i="35" s="1"/>
  <c r="AC44" i="35" a="1"/>
  <c r="AC44" i="35" s="1"/>
  <c r="AC48" i="35" a="1"/>
  <c r="AC48" i="35" s="1"/>
  <c r="AC52" i="35" a="1"/>
  <c r="AC52" i="35" s="1"/>
  <c r="AC35" i="35" a="1"/>
  <c r="AC35" i="35" s="1"/>
  <c r="AC39" i="35" a="1"/>
  <c r="AC39" i="35" s="1"/>
  <c r="AC43" i="35" a="1"/>
  <c r="AC43" i="35" s="1"/>
  <c r="O83" i="34" s="1" a="1"/>
  <c r="O83" i="34" s="1"/>
  <c r="R83" i="34" s="1"/>
  <c r="AC47" i="35" a="1"/>
  <c r="AC47" i="35" s="1"/>
  <c r="AC34" i="35" a="1"/>
  <c r="AC34" i="35" s="1"/>
  <c r="O74" i="34" s="1" a="1"/>
  <c r="O74" i="34" s="1"/>
  <c r="R74" i="34" s="1"/>
  <c r="AC38" i="35" a="1"/>
  <c r="AC38" i="35" s="1"/>
  <c r="AC42" i="35" a="1"/>
  <c r="AC42" i="35" s="1"/>
  <c r="AC46" i="35" a="1"/>
  <c r="AC46" i="35" s="1"/>
  <c r="AC50" i="35" a="1"/>
  <c r="AC50" i="35" s="1"/>
  <c r="AC51" i="35" a="1"/>
  <c r="AC51" i="35" s="1"/>
  <c r="Q79" i="34" l="1"/>
  <c r="Q27" i="34"/>
  <c r="S27" i="34"/>
  <c r="Q139" i="34"/>
  <c r="Q141" i="34"/>
  <c r="Q97" i="34"/>
  <c r="Q92" i="34"/>
  <c r="Q65" i="34"/>
  <c r="Q121" i="34"/>
  <c r="Q33" i="34"/>
  <c r="Q157" i="34"/>
  <c r="Q38" i="34"/>
  <c r="S38" i="34"/>
  <c r="Q148" i="34"/>
  <c r="Q80" i="34"/>
  <c r="Q149" i="34"/>
  <c r="Q50" i="34"/>
  <c r="S50" i="34"/>
  <c r="Q131" i="34"/>
  <c r="Q146" i="34"/>
  <c r="Q106" i="34"/>
  <c r="Q71" i="34"/>
  <c r="Q159" i="34"/>
  <c r="S159" i="34"/>
  <c r="Q127" i="34"/>
  <c r="Q99" i="34"/>
  <c r="Q107" i="34"/>
  <c r="Q48" i="34"/>
  <c r="Q130" i="34"/>
  <c r="Q137" i="34"/>
  <c r="Q41" i="34"/>
  <c r="Q138" i="34"/>
  <c r="Q143" i="34"/>
  <c r="Q87" i="34"/>
  <c r="Q102" i="34"/>
  <c r="Q113" i="34"/>
  <c r="Q103" i="34"/>
  <c r="Q44" i="34"/>
  <c r="Q28" i="34"/>
  <c r="Q82" i="34"/>
  <c r="Q60" i="34"/>
  <c r="Q67" i="34"/>
  <c r="Q132" i="34"/>
  <c r="Q89" i="34"/>
  <c r="S89" i="34"/>
  <c r="Q116" i="34"/>
  <c r="Q47" i="34"/>
  <c r="Q114" i="34"/>
  <c r="Q81" i="34"/>
  <c r="Q147" i="34"/>
  <c r="S147" i="34"/>
  <c r="Q86" i="34"/>
  <c r="Q129" i="34"/>
  <c r="Q30" i="34"/>
  <c r="S30" i="34"/>
  <c r="Q68" i="34"/>
  <c r="Q55" i="34"/>
  <c r="Q160" i="34"/>
  <c r="Q76" i="34"/>
  <c r="Q74" i="34"/>
  <c r="S74" i="34"/>
  <c r="Q56" i="34"/>
  <c r="Q32" i="34"/>
  <c r="Q142" i="34"/>
  <c r="Q69" i="34"/>
  <c r="Q140" i="34"/>
  <c r="Q90" i="34"/>
  <c r="Q155" i="34"/>
  <c r="Q105" i="34"/>
  <c r="Q73" i="34"/>
  <c r="S73" i="34"/>
  <c r="Q119" i="34"/>
  <c r="Q124" i="34"/>
  <c r="Q162" i="34"/>
  <c r="Q37" i="34"/>
  <c r="Q104" i="34"/>
  <c r="Q58" i="34"/>
  <c r="Q63" i="34"/>
  <c r="Q53" i="34"/>
  <c r="Q111" i="34"/>
  <c r="Q72" i="34"/>
  <c r="Q120" i="34"/>
  <c r="Q109" i="34"/>
  <c r="Q39" i="34"/>
  <c r="Q43" i="34"/>
  <c r="Q54" i="34"/>
  <c r="Q49" i="34"/>
  <c r="Q134" i="34"/>
  <c r="Q94" i="34"/>
  <c r="Q153" i="34"/>
  <c r="Q31" i="34"/>
  <c r="Q144" i="34"/>
  <c r="Q154" i="34"/>
  <c r="Q52" i="34"/>
  <c r="Q91" i="34"/>
  <c r="Q46" i="34"/>
  <c r="Q77" i="34"/>
  <c r="Q133" i="34"/>
  <c r="Q35" i="34"/>
  <c r="Q150" i="34"/>
  <c r="Q122" i="34"/>
  <c r="Q96" i="34"/>
  <c r="Q95" i="34"/>
  <c r="Q29" i="34"/>
  <c r="Q101" i="34"/>
  <c r="Q36" i="34"/>
  <c r="Q126" i="34"/>
  <c r="Q45" i="34"/>
  <c r="Q158" i="34"/>
  <c r="Q125" i="34"/>
  <c r="Q2" i="34"/>
  <c r="S2" i="34"/>
  <c r="Q85" i="34"/>
  <c r="Q128" i="34"/>
  <c r="Q64" i="34"/>
  <c r="Q108" i="34"/>
  <c r="Q34" i="34"/>
  <c r="Q57" i="34"/>
  <c r="Q93" i="34"/>
  <c r="Q135" i="34"/>
  <c r="Q62" i="34"/>
  <c r="Q78" i="34"/>
  <c r="Q42" i="34"/>
  <c r="Q40" i="34"/>
  <c r="Q123" i="34"/>
  <c r="Q112" i="34"/>
  <c r="Q84" i="34"/>
  <c r="Q117" i="34"/>
  <c r="Q100" i="34"/>
  <c r="Q115" i="34"/>
  <c r="Q83" i="34"/>
  <c r="S83" i="34"/>
  <c r="Q156" i="34"/>
  <c r="Q145" i="34"/>
  <c r="Q66" i="34"/>
  <c r="Q75" i="34"/>
  <c r="Q136" i="34"/>
  <c r="Q51" i="34"/>
  <c r="Q88" i="34"/>
  <c r="Q118" i="34"/>
  <c r="Q26" i="34"/>
  <c r="O6" i="34" a="1"/>
  <c r="O6" i="34" s="1"/>
  <c r="O10" i="34" a="1"/>
  <c r="O10" i="34" s="1"/>
  <c r="O12" i="34" a="1"/>
  <c r="O12" i="34" s="1"/>
  <c r="O15" i="34" a="1"/>
  <c r="O15" i="34" s="1"/>
  <c r="O24" i="34" a="1"/>
  <c r="O24" i="34" s="1"/>
  <c r="O5" i="34" a="1"/>
  <c r="O5" i="34" s="1"/>
  <c r="O20" i="34" a="1"/>
  <c r="O20" i="34" s="1"/>
  <c r="O13" i="34" a="1"/>
  <c r="O13" i="34" s="1"/>
  <c r="O17" i="34" a="1"/>
  <c r="O17" i="34" s="1"/>
  <c r="O9" i="34" a="1"/>
  <c r="O9" i="34" s="1"/>
  <c r="O8" i="34" a="1"/>
  <c r="O8" i="34" s="1"/>
  <c r="O21" i="34" a="1"/>
  <c r="O21" i="34" s="1"/>
  <c r="O4" i="34" a="1"/>
  <c r="O4" i="34" s="1"/>
  <c r="O23" i="34" a="1"/>
  <c r="O23" i="34" s="1"/>
  <c r="O3" i="34" a="1"/>
  <c r="O3" i="34" s="1"/>
  <c r="O151" i="34" a="1"/>
  <c r="O151" i="34" s="1"/>
  <c r="O16" i="34" a="1"/>
  <c r="O16" i="34" s="1"/>
  <c r="O19" i="34" a="1"/>
  <c r="O19" i="34" s="1"/>
  <c r="O18" i="34" a="1"/>
  <c r="O18" i="34" s="1"/>
  <c r="O11" i="34" a="1"/>
  <c r="O11" i="34" s="1"/>
  <c r="O152" i="34" a="1"/>
  <c r="O152" i="34" s="1"/>
  <c r="O22" i="34" a="1"/>
  <c r="O22" i="34" s="1"/>
  <c r="O14" i="34" a="1"/>
  <c r="O14" i="34" s="1"/>
  <c r="O7" i="34" a="1"/>
  <c r="O7" i="34" s="1"/>
  <c r="R2" i="34"/>
  <c r="R21" i="34" l="1"/>
  <c r="S21" i="34"/>
  <c r="R18" i="34"/>
  <c r="S18" i="34"/>
  <c r="R19" i="34"/>
  <c r="S19" i="34"/>
  <c r="R9" i="34"/>
  <c r="S9" i="34"/>
  <c r="R10" i="34"/>
  <c r="S10" i="34"/>
  <c r="R8" i="34"/>
  <c r="S8" i="34"/>
  <c r="R16" i="34"/>
  <c r="S16" i="34"/>
  <c r="R17" i="34"/>
  <c r="S17" i="34"/>
  <c r="R6" i="34"/>
  <c r="S6" i="34"/>
  <c r="R15" i="34"/>
  <c r="S15" i="34"/>
  <c r="R12" i="34"/>
  <c r="S12" i="34"/>
  <c r="R7" i="34"/>
  <c r="S7" i="34"/>
  <c r="R151" i="34"/>
  <c r="S151" i="34"/>
  <c r="R13" i="34"/>
  <c r="S13" i="34"/>
  <c r="R14" i="34"/>
  <c r="S14" i="34"/>
  <c r="R3" i="34"/>
  <c r="S3" i="34"/>
  <c r="R20" i="34"/>
  <c r="S20" i="34"/>
  <c r="R11" i="34"/>
  <c r="S11" i="34"/>
  <c r="R22" i="34"/>
  <c r="S22" i="34"/>
  <c r="R23" i="34"/>
  <c r="S23" i="34"/>
  <c r="R5" i="34"/>
  <c r="S5" i="34"/>
  <c r="R152" i="34"/>
  <c r="S152" i="34"/>
  <c r="R4" i="34"/>
  <c r="S4" i="34"/>
  <c r="R24" i="34"/>
  <c r="S24" i="34"/>
  <c r="O65" i="34" a="1"/>
  <c r="O65" i="34" s="1"/>
  <c r="O103" i="34" a="1"/>
  <c r="O103" i="34" s="1"/>
  <c r="O156" i="34" a="1"/>
  <c r="O156" i="34" s="1"/>
  <c r="O55" i="34" a="1"/>
  <c r="O55" i="34" s="1"/>
  <c r="O47" i="34" a="1"/>
  <c r="O47" i="34" s="1"/>
  <c r="O116" i="34" a="1"/>
  <c r="O116" i="34" s="1"/>
  <c r="O96" i="34" a="1"/>
  <c r="O96" i="34" s="1"/>
  <c r="O114" i="34" a="1"/>
  <c r="O114" i="34" s="1"/>
  <c r="O118" i="34" a="1"/>
  <c r="O118" i="34" s="1"/>
  <c r="O134" i="34" a="1"/>
  <c r="O134" i="34" s="1"/>
  <c r="O157" i="34" a="1"/>
  <c r="O157" i="34" s="1"/>
  <c r="O91" i="34" a="1"/>
  <c r="O91" i="34" s="1"/>
  <c r="O139" i="34" a="1"/>
  <c r="O139" i="34" s="1"/>
  <c r="O146" i="34" a="1"/>
  <c r="O146" i="34" s="1"/>
  <c r="O51" i="34" a="1"/>
  <c r="O51" i="34" s="1"/>
  <c r="O155" i="34" a="1"/>
  <c r="O155" i="34" s="1"/>
  <c r="O52" i="34" a="1"/>
  <c r="O52" i="34" s="1"/>
  <c r="O66" i="34" a="1"/>
  <c r="O66" i="34" s="1"/>
  <c r="O28" i="34" a="1"/>
  <c r="O28" i="34" s="1"/>
  <c r="O60" i="34" a="1"/>
  <c r="O60" i="34" s="1"/>
  <c r="O62" i="34" a="1"/>
  <c r="O62" i="34" s="1"/>
  <c r="O36" i="34" a="1"/>
  <c r="O36" i="34" s="1"/>
  <c r="O162" i="34" a="1"/>
  <c r="O162" i="34" s="1"/>
  <c r="O33" i="34" a="1"/>
  <c r="O33" i="34" s="1"/>
  <c r="O45" i="34" a="1"/>
  <c r="O45" i="34" s="1"/>
  <c r="O115" i="34" a="1"/>
  <c r="O115" i="34" s="1"/>
  <c r="O95" i="34" a="1"/>
  <c r="O95" i="34" s="1"/>
  <c r="O108" i="34" a="1"/>
  <c r="O108" i="34" s="1"/>
  <c r="O129" i="34" a="1"/>
  <c r="O129" i="34" s="1"/>
  <c r="O124" i="34" a="1"/>
  <c r="O124" i="34" s="1"/>
  <c r="O161" i="34" a="1"/>
  <c r="O161" i="34" s="1"/>
  <c r="O71" i="34" a="1"/>
  <c r="O71" i="34" s="1"/>
  <c r="O158" i="34" a="1"/>
  <c r="O158" i="34" s="1"/>
  <c r="O79" i="34" a="1"/>
  <c r="O79" i="34" s="1"/>
  <c r="O148" i="34" a="1"/>
  <c r="O148" i="34" s="1"/>
  <c r="O84" i="34" a="1"/>
  <c r="O84" i="34" s="1"/>
  <c r="O150" i="34" a="1"/>
  <c r="O150" i="34" s="1"/>
  <c r="O63" i="34" a="1"/>
  <c r="O63" i="34" s="1"/>
  <c r="O102" i="34" a="1"/>
  <c r="O102" i="34" s="1"/>
  <c r="O128" i="34" a="1"/>
  <c r="O128" i="34" s="1"/>
  <c r="O25" i="34" a="1"/>
  <c r="O25" i="34" s="1"/>
  <c r="O121" i="34" a="1"/>
  <c r="O121" i="34" s="1"/>
  <c r="O119" i="34" a="1"/>
  <c r="O119" i="34" s="1"/>
  <c r="O135" i="34" a="1"/>
  <c r="O135" i="34" s="1"/>
  <c r="O107" i="34" a="1"/>
  <c r="O107" i="34" s="1"/>
  <c r="O76" i="34" a="1"/>
  <c r="O76" i="34" s="1"/>
  <c r="O56" i="34" a="1"/>
  <c r="O56" i="34" s="1"/>
  <c r="O112" i="34" a="1"/>
  <c r="O112" i="34" s="1"/>
  <c r="O48" i="34" a="1"/>
  <c r="O48" i="34" s="1"/>
  <c r="O90" i="34" a="1"/>
  <c r="O90" i="34" s="1"/>
  <c r="O160" i="34" a="1"/>
  <c r="O160" i="34" s="1"/>
  <c r="O57" i="34" a="1"/>
  <c r="O57" i="34" s="1"/>
  <c r="O101" i="34" a="1"/>
  <c r="O101" i="34" s="1"/>
  <c r="O138" i="34" a="1"/>
  <c r="O138" i="34" s="1"/>
  <c r="O54" i="34" a="1"/>
  <c r="O54" i="34" s="1"/>
  <c r="O154" i="34" a="1"/>
  <c r="O154" i="34" s="1"/>
  <c r="O106" i="34" a="1"/>
  <c r="O106" i="34" s="1"/>
  <c r="O42" i="34" a="1"/>
  <c r="O42" i="34" s="1"/>
  <c r="O44" i="34" a="1"/>
  <c r="O44" i="34" s="1"/>
  <c r="O113" i="34" a="1"/>
  <c r="O113" i="34" s="1"/>
  <c r="O100" i="34" a="1"/>
  <c r="O100" i="34" s="1"/>
  <c r="O132" i="34" a="1"/>
  <c r="O132" i="34" s="1"/>
  <c r="O122" i="34" a="1"/>
  <c r="O122" i="34" s="1"/>
  <c r="O92" i="34" a="1"/>
  <c r="O92" i="34" s="1"/>
  <c r="O97" i="34" a="1"/>
  <c r="O97" i="34" s="1"/>
  <c r="O87" i="34" a="1"/>
  <c r="O87" i="34" s="1"/>
  <c r="O67" i="34" a="1"/>
  <c r="O67" i="34" s="1"/>
  <c r="O80" i="34" a="1"/>
  <c r="O80" i="34" s="1"/>
  <c r="O153" i="34" a="1"/>
  <c r="O153" i="34" s="1"/>
  <c r="O144" i="34" a="1"/>
  <c r="O144" i="34" s="1"/>
  <c r="O140" i="34" a="1"/>
  <c r="O140" i="34" s="1"/>
  <c r="O39" i="34" a="1"/>
  <c r="O39" i="34" s="1"/>
  <c r="O120" i="34" a="1"/>
  <c r="O120" i="34" s="1"/>
  <c r="O93" i="34" a="1"/>
  <c r="O93" i="34" s="1"/>
  <c r="O43" i="34" a="1"/>
  <c r="O43" i="34" s="1"/>
  <c r="O141" i="34" a="1"/>
  <c r="O141" i="34" s="1"/>
  <c r="O143" i="34" a="1"/>
  <c r="O143" i="34" s="1"/>
  <c r="O37" i="34" a="1"/>
  <c r="O37" i="34" s="1"/>
  <c r="O41" i="34" a="1"/>
  <c r="O41" i="34" s="1"/>
  <c r="O98" i="34" a="1"/>
  <c r="O98" i="34" s="1"/>
  <c r="O99" i="34" a="1"/>
  <c r="O99" i="34" s="1"/>
  <c r="O117" i="34" a="1"/>
  <c r="O117" i="34" s="1"/>
  <c r="O133" i="34" a="1"/>
  <c r="O133" i="34" s="1"/>
  <c r="O86" i="34" a="1"/>
  <c r="O86" i="34" s="1"/>
  <c r="O127" i="34" a="1"/>
  <c r="O127" i="34" s="1"/>
  <c r="O81" i="34" a="1"/>
  <c r="O81" i="34" s="1"/>
  <c r="O68" i="34" a="1"/>
  <c r="O68" i="34" s="1"/>
  <c r="O78" i="34" a="1"/>
  <c r="O78" i="34" s="1"/>
  <c r="O149" i="34" a="1"/>
  <c r="O149" i="34" s="1"/>
  <c r="O85" i="34" a="1"/>
  <c r="O85" i="34" s="1"/>
  <c r="O49" i="34" a="1"/>
  <c r="O49" i="34" s="1"/>
  <c r="O145" i="34" a="1"/>
  <c r="O145" i="34" s="1"/>
  <c r="O69" i="34" a="1"/>
  <c r="O69" i="34" s="1"/>
  <c r="O137" i="34" a="1"/>
  <c r="O137" i="34" s="1"/>
  <c r="O70" i="34" a="1"/>
  <c r="O70" i="34" s="1"/>
  <c r="O105" i="34" a="1"/>
  <c r="O105" i="34" s="1"/>
  <c r="O58" i="34" a="1"/>
  <c r="O58" i="34" s="1"/>
  <c r="O64" i="34" a="1"/>
  <c r="O64" i="34" s="1"/>
  <c r="O29" i="34" a="1"/>
  <c r="O29" i="34" s="1"/>
  <c r="O26" i="34" a="1"/>
  <c r="O26" i="34" s="1"/>
  <c r="O32" i="34" a="1"/>
  <c r="O32" i="34" s="1"/>
  <c r="O109" i="34" a="1"/>
  <c r="O109" i="34" s="1"/>
  <c r="O110" i="34" a="1"/>
  <c r="O110" i="34" s="1"/>
  <c r="O125" i="34" a="1"/>
  <c r="O125" i="34" s="1"/>
  <c r="O123" i="34" a="1"/>
  <c r="O123" i="34" s="1"/>
  <c r="O72" i="34" a="1"/>
  <c r="O72" i="34" s="1"/>
  <c r="O130" i="34" a="1"/>
  <c r="O130" i="34" s="1"/>
  <c r="O88" i="34" a="1"/>
  <c r="O88" i="34" s="1"/>
  <c r="O75" i="34" a="1"/>
  <c r="O75" i="34" s="1"/>
  <c r="O35" i="34" a="1"/>
  <c r="O35" i="34" s="1"/>
  <c r="O142" i="34" a="1"/>
  <c r="O142" i="34" s="1"/>
  <c r="O59" i="34" a="1"/>
  <c r="O59" i="34" s="1"/>
  <c r="O40" i="34" a="1"/>
  <c r="O40" i="34" s="1"/>
  <c r="O31" i="34" a="1"/>
  <c r="O31" i="34" s="1"/>
  <c r="O111" i="34" a="1"/>
  <c r="O111" i="34" s="1"/>
  <c r="O94" i="34" a="1"/>
  <c r="O94" i="34" s="1"/>
  <c r="O104" i="34" a="1"/>
  <c r="O104" i="34" s="1"/>
  <c r="O136" i="34" a="1"/>
  <c r="O136" i="34" s="1"/>
  <c r="O126" i="34" a="1"/>
  <c r="O126" i="34" s="1"/>
  <c r="O53" i="34" a="1"/>
  <c r="O53" i="34" s="1"/>
  <c r="O131" i="34" a="1"/>
  <c r="O131" i="34" s="1"/>
  <c r="O82" i="34" a="1"/>
  <c r="O82" i="34" s="1"/>
  <c r="O34" i="34" a="1"/>
  <c r="O34" i="34" s="1"/>
  <c r="O46" i="34" a="1"/>
  <c r="O46" i="34" s="1"/>
  <c r="O77" i="34" a="1"/>
  <c r="O77" i="34" s="1"/>
  <c r="O61" i="34" a="1"/>
  <c r="O61" i="34" s="1"/>
  <c r="J28" i="46" l="1"/>
  <c r="F28" i="46"/>
  <c r="H28" i="46"/>
  <c r="D28" i="46" s="1" a="1"/>
  <c r="D28" i="46" s="1"/>
  <c r="R136" i="34"/>
  <c r="S136" i="34"/>
  <c r="R85" i="34"/>
  <c r="S85" i="34"/>
  <c r="R113" i="34"/>
  <c r="S113" i="34"/>
  <c r="R60" i="34"/>
  <c r="S60" i="34"/>
  <c r="G28" i="46"/>
  <c r="C28" i="46" s="1" a="1"/>
  <c r="C28" i="46" s="1"/>
  <c r="R111" i="34"/>
  <c r="S111" i="34"/>
  <c r="R32" i="34"/>
  <c r="S32" i="34"/>
  <c r="R81" i="34"/>
  <c r="S81" i="34"/>
  <c r="R37" i="34"/>
  <c r="S37" i="34"/>
  <c r="R154" i="34"/>
  <c r="S154" i="34"/>
  <c r="R71" i="34"/>
  <c r="S71" i="34"/>
  <c r="I28" i="46"/>
  <c r="E28" i="46" s="1" a="1"/>
  <c r="E28" i="46" s="1"/>
  <c r="R102" i="34"/>
  <c r="S102" i="34"/>
  <c r="R162" i="34"/>
  <c r="S162" i="34"/>
  <c r="R96" i="34"/>
  <c r="S96" i="34"/>
  <c r="R53" i="34"/>
  <c r="S53" i="34"/>
  <c r="R130" i="34"/>
  <c r="S130" i="34"/>
  <c r="R145" i="34"/>
  <c r="S145" i="34"/>
  <c r="R141" i="34"/>
  <c r="S141" i="34"/>
  <c r="R144" i="34"/>
  <c r="S144" i="34"/>
  <c r="R132" i="34"/>
  <c r="S132" i="34"/>
  <c r="R138" i="34"/>
  <c r="S138" i="34"/>
  <c r="R76" i="34"/>
  <c r="S76" i="34"/>
  <c r="R63" i="34"/>
  <c r="S63" i="34"/>
  <c r="R124" i="34"/>
  <c r="S124" i="34"/>
  <c r="R36" i="34"/>
  <c r="S36" i="34"/>
  <c r="R146" i="34"/>
  <c r="S146" i="34"/>
  <c r="R116" i="34"/>
  <c r="S116" i="34"/>
  <c r="R77" i="34"/>
  <c r="S77" i="34"/>
  <c r="R58" i="34"/>
  <c r="S58" i="34"/>
  <c r="R80" i="34"/>
  <c r="S80" i="34"/>
  <c r="R84" i="34"/>
  <c r="S84" i="34"/>
  <c r="R82" i="34"/>
  <c r="S82" i="34"/>
  <c r="R75" i="34"/>
  <c r="S75" i="34"/>
  <c r="R137" i="34"/>
  <c r="S137" i="34"/>
  <c r="R92" i="34"/>
  <c r="S92" i="34"/>
  <c r="R112" i="34"/>
  <c r="S112" i="34"/>
  <c r="R128" i="34"/>
  <c r="S128" i="34"/>
  <c r="R33" i="34"/>
  <c r="S33" i="34"/>
  <c r="R155" i="34"/>
  <c r="S155" i="34"/>
  <c r="R114" i="34"/>
  <c r="S114" i="34"/>
  <c r="R131" i="34"/>
  <c r="S131" i="34"/>
  <c r="R31" i="34"/>
  <c r="S31" i="34"/>
  <c r="R88" i="34"/>
  <c r="S88" i="34"/>
  <c r="R26" i="34"/>
  <c r="S26" i="34"/>
  <c r="R69" i="34"/>
  <c r="S69" i="34"/>
  <c r="R127" i="34"/>
  <c r="S127" i="34"/>
  <c r="R143" i="34"/>
  <c r="S143" i="34"/>
  <c r="R140" i="34"/>
  <c r="S140" i="34"/>
  <c r="R122" i="34"/>
  <c r="S122" i="34"/>
  <c r="R54" i="34"/>
  <c r="S54" i="34"/>
  <c r="R56" i="34"/>
  <c r="S56" i="34"/>
  <c r="R161" i="34"/>
  <c r="S161" i="34"/>
  <c r="R51" i="34"/>
  <c r="S51" i="34"/>
  <c r="R40" i="34"/>
  <c r="S40" i="34"/>
  <c r="R29" i="34"/>
  <c r="S29" i="34"/>
  <c r="R86" i="34"/>
  <c r="S86" i="34"/>
  <c r="R61" i="34"/>
  <c r="S61" i="34"/>
  <c r="R126" i="34"/>
  <c r="S126" i="34"/>
  <c r="R59" i="34"/>
  <c r="S59" i="34"/>
  <c r="R72" i="34"/>
  <c r="S72" i="34"/>
  <c r="R64" i="34"/>
  <c r="S64" i="34"/>
  <c r="R49" i="34"/>
  <c r="S49" i="34"/>
  <c r="R133" i="34"/>
  <c r="S133" i="34"/>
  <c r="R43" i="34"/>
  <c r="S43" i="34"/>
  <c r="R153" i="34"/>
  <c r="S153" i="34"/>
  <c r="R100" i="34"/>
  <c r="S100" i="34"/>
  <c r="R101" i="34"/>
  <c r="S101" i="34"/>
  <c r="R107" i="34"/>
  <c r="S107" i="34"/>
  <c r="R150" i="34"/>
  <c r="S150" i="34"/>
  <c r="R129" i="34"/>
  <c r="S129" i="34"/>
  <c r="R62" i="34"/>
  <c r="S62" i="34"/>
  <c r="R139" i="34"/>
  <c r="S139" i="34"/>
  <c r="R47" i="34"/>
  <c r="S47" i="34"/>
  <c r="R117" i="34"/>
  <c r="S117" i="34"/>
  <c r="R57" i="34"/>
  <c r="S57" i="34"/>
  <c r="R108" i="34"/>
  <c r="S108" i="34"/>
  <c r="R55" i="34"/>
  <c r="S55" i="34"/>
  <c r="R104" i="34"/>
  <c r="S104" i="34"/>
  <c r="R125" i="34"/>
  <c r="S125" i="34"/>
  <c r="R149" i="34"/>
  <c r="S149" i="34"/>
  <c r="R120" i="34"/>
  <c r="S120" i="34"/>
  <c r="R44" i="34"/>
  <c r="S44" i="34"/>
  <c r="R119" i="34"/>
  <c r="S119" i="34"/>
  <c r="R95" i="34"/>
  <c r="S95" i="34"/>
  <c r="R157" i="34"/>
  <c r="S157" i="34"/>
  <c r="R110" i="34"/>
  <c r="S110" i="34"/>
  <c r="R78" i="34"/>
  <c r="S78" i="34"/>
  <c r="R87" i="34"/>
  <c r="S87" i="34"/>
  <c r="R90" i="34"/>
  <c r="S90" i="34"/>
  <c r="R79" i="34"/>
  <c r="S79" i="34"/>
  <c r="R115" i="34"/>
  <c r="S115" i="34"/>
  <c r="R66" i="34"/>
  <c r="S66" i="34"/>
  <c r="R134" i="34"/>
  <c r="S134" i="34"/>
  <c r="R103" i="34"/>
  <c r="S103" i="34"/>
  <c r="R123" i="34"/>
  <c r="S123" i="34"/>
  <c r="R93" i="34"/>
  <c r="S93" i="34"/>
  <c r="R135" i="34"/>
  <c r="S135" i="34"/>
  <c r="R91" i="34"/>
  <c r="S91" i="34"/>
  <c r="R46" i="34"/>
  <c r="S46" i="34"/>
  <c r="R142" i="34"/>
  <c r="S142" i="34"/>
  <c r="R105" i="34"/>
  <c r="S105" i="34"/>
  <c r="R99" i="34"/>
  <c r="S99" i="34"/>
  <c r="R67" i="34"/>
  <c r="S67" i="34"/>
  <c r="R160" i="34"/>
  <c r="S160" i="34"/>
  <c r="R148" i="34"/>
  <c r="S148" i="34"/>
  <c r="R28" i="34"/>
  <c r="S28" i="34"/>
  <c r="R156" i="34"/>
  <c r="S156" i="34"/>
  <c r="R94" i="34"/>
  <c r="S94" i="34"/>
  <c r="R98" i="34"/>
  <c r="S98" i="34"/>
  <c r="R39" i="34"/>
  <c r="S39" i="34"/>
  <c r="R42" i="34"/>
  <c r="S42" i="34"/>
  <c r="R121" i="34"/>
  <c r="S121" i="34"/>
  <c r="R34" i="34"/>
  <c r="S34" i="34"/>
  <c r="R35" i="34"/>
  <c r="S35" i="34"/>
  <c r="R109" i="34"/>
  <c r="S109" i="34"/>
  <c r="R70" i="34"/>
  <c r="S70" i="34"/>
  <c r="R68" i="34"/>
  <c r="S68" i="34"/>
  <c r="R41" i="34"/>
  <c r="S41" i="34"/>
  <c r="R97" i="34"/>
  <c r="S97" i="34"/>
  <c r="R106" i="34"/>
  <c r="S106" i="34"/>
  <c r="R48" i="34"/>
  <c r="S48" i="34"/>
  <c r="R25" i="34"/>
  <c r="S25" i="34"/>
  <c r="R158" i="34"/>
  <c r="S158" i="34"/>
  <c r="R45" i="34"/>
  <c r="S45" i="34"/>
  <c r="R52" i="34"/>
  <c r="S52" i="34"/>
  <c r="R118" i="34"/>
  <c r="S118" i="34"/>
  <c r="R65" i="34"/>
  <c r="S65" i="34"/>
  <c r="B118" i="31" a="1"/>
  <c r="B28" i="46" l="1" a="1"/>
  <c r="B28" i="46" s="1"/>
  <c r="J12" i="46"/>
  <c r="J18" i="46"/>
  <c r="J16" i="46"/>
  <c r="J10" i="46"/>
  <c r="J5" i="46"/>
  <c r="J21" i="46"/>
  <c r="J13" i="46"/>
  <c r="J23" i="46"/>
  <c r="J11" i="46"/>
  <c r="J24" i="46"/>
  <c r="J15" i="46"/>
  <c r="J14" i="46"/>
  <c r="J20" i="46"/>
  <c r="J3" i="46"/>
  <c r="J22" i="46"/>
  <c r="J6" i="46"/>
  <c r="J7" i="46"/>
  <c r="J19" i="46"/>
  <c r="J31" i="46"/>
  <c r="J9" i="46"/>
  <c r="J17" i="46"/>
  <c r="J8" i="46"/>
  <c r="J4" i="46"/>
  <c r="J32" i="46"/>
  <c r="J33" i="46"/>
  <c r="J29" i="46"/>
  <c r="J2" i="46"/>
  <c r="J30" i="46"/>
  <c r="J34" i="46"/>
  <c r="H14" i="46"/>
  <c r="D14" i="46" s="1" a="1"/>
  <c r="D14" i="46" s="1"/>
  <c r="F23" i="46"/>
  <c r="B23" i="46" s="1" a="1"/>
  <c r="B23" i="46" s="1"/>
  <c r="H5" i="46"/>
  <c r="D5" i="46" s="1" a="1"/>
  <c r="D5" i="46" s="1"/>
  <c r="H8" i="46"/>
  <c r="D8" i="46" s="1" a="1"/>
  <c r="D8" i="46" s="1"/>
  <c r="H11" i="46"/>
  <c r="D11" i="46" s="1" a="1"/>
  <c r="D11" i="46" s="1"/>
  <c r="G7" i="46"/>
  <c r="C7" i="46" s="1" a="1"/>
  <c r="C7" i="46" s="1"/>
  <c r="G16" i="46"/>
  <c r="C16" i="46" s="1" a="1"/>
  <c r="C16" i="46" s="1"/>
  <c r="I15" i="46"/>
  <c r="E15" i="46" s="1" a="1"/>
  <c r="E15" i="46" s="1"/>
  <c r="F14" i="46"/>
  <c r="B14" i="46" s="1" a="1"/>
  <c r="B14" i="46" s="1"/>
  <c r="G14" i="46"/>
  <c r="C14" i="46" s="1" a="1"/>
  <c r="C14" i="46" s="1"/>
  <c r="H12" i="46"/>
  <c r="D12" i="46" s="1" a="1"/>
  <c r="D12" i="46" s="1"/>
  <c r="H17" i="46"/>
  <c r="D17" i="46" s="1" a="1"/>
  <c r="D17" i="46" s="1"/>
  <c r="G13" i="46"/>
  <c r="C13" i="46" s="1" a="1"/>
  <c r="C13" i="46" s="1"/>
  <c r="I7" i="46"/>
  <c r="E7" i="46" s="1" a="1"/>
  <c r="E7" i="46" s="1"/>
  <c r="G4" i="46"/>
  <c r="C4" i="46" s="1" a="1"/>
  <c r="C4" i="46" s="1"/>
  <c r="F32" i="46"/>
  <c r="B32" i="46" s="1" a="1"/>
  <c r="B32" i="46" s="1"/>
  <c r="F31" i="46"/>
  <c r="B31" i="46" s="1" a="1"/>
  <c r="B31" i="46" s="1"/>
  <c r="I18" i="46"/>
  <c r="E18" i="46" s="1" a="1"/>
  <c r="E18" i="46" s="1"/>
  <c r="G19" i="46"/>
  <c r="C19" i="46" s="1" a="1"/>
  <c r="C19" i="46" s="1"/>
  <c r="I29" i="46"/>
  <c r="E29" i="46" s="1" a="1"/>
  <c r="E29" i="46" s="1"/>
  <c r="H34" i="46"/>
  <c r="D34" i="46" s="1" a="1"/>
  <c r="D34" i="46" s="1"/>
  <c r="G17" i="46"/>
  <c r="C17" i="46" s="1" a="1"/>
  <c r="C17" i="46" s="1"/>
  <c r="F11" i="46"/>
  <c r="B11" i="46" s="1" a="1"/>
  <c r="B11" i="46" s="1"/>
  <c r="F3" i="46"/>
  <c r="B3" i="46" s="1" a="1"/>
  <c r="B3" i="46" s="1"/>
  <c r="I20" i="46"/>
  <c r="E20" i="46" s="1" a="1"/>
  <c r="E20" i="46" s="1"/>
  <c r="F33" i="46"/>
  <c r="B33" i="46" s="1" a="1"/>
  <c r="B33" i="46" s="1"/>
  <c r="I22" i="46"/>
  <c r="E22" i="46" s="1" a="1"/>
  <c r="E22" i="46" s="1"/>
  <c r="G15" i="46"/>
  <c r="C15" i="46" s="1" a="1"/>
  <c r="C15" i="46" s="1"/>
  <c r="I13" i="46"/>
  <c r="E13" i="46" s="1" a="1"/>
  <c r="E13" i="46" s="1"/>
  <c r="E118" i="30" a="1"/>
  <c r="E118" i="30" s="1"/>
  <c r="I9" i="46"/>
  <c r="E9" i="46" s="1" a="1"/>
  <c r="E9" i="46" s="1"/>
  <c r="F2" i="46"/>
  <c r="F16" i="46"/>
  <c r="B16" i="46" s="1" a="1"/>
  <c r="B16" i="46" s="1"/>
  <c r="H33" i="46"/>
  <c r="D33" i="46" s="1" a="1"/>
  <c r="D33" i="46" s="1"/>
  <c r="F8" i="46"/>
  <c r="B8" i="46" s="1" a="1"/>
  <c r="B8" i="46" s="1"/>
  <c r="G18" i="46"/>
  <c r="C18" i="46" s="1" a="1"/>
  <c r="C18" i="46" s="1"/>
  <c r="G3" i="46"/>
  <c r="C3" i="46" s="1" a="1"/>
  <c r="C3" i="46" s="1"/>
  <c r="I30" i="46"/>
  <c r="E30" i="46" s="1" a="1"/>
  <c r="E30" i="46" s="1"/>
  <c r="I11" i="46"/>
  <c r="E11" i="46" s="1" a="1"/>
  <c r="E11" i="46" s="1"/>
  <c r="H20" i="46"/>
  <c r="D20" i="46" s="1" a="1"/>
  <c r="D20" i="46" s="1"/>
  <c r="F24" i="46"/>
  <c r="B24" i="46" s="1" a="1"/>
  <c r="B24" i="46" s="1"/>
  <c r="F9" i="46"/>
  <c r="B9" i="46" s="1" a="1"/>
  <c r="B9" i="46" s="1"/>
  <c r="I31" i="46"/>
  <c r="E31" i="46" s="1" a="1"/>
  <c r="E31" i="46" s="1"/>
  <c r="H18" i="46"/>
  <c r="D18" i="46" s="1" a="1"/>
  <c r="D18" i="46" s="1"/>
  <c r="H10" i="46"/>
  <c r="D10" i="46" s="1" a="1"/>
  <c r="D10" i="46" s="1"/>
  <c r="I24" i="46"/>
  <c r="E24" i="46" s="1" a="1"/>
  <c r="E24" i="46" s="1"/>
  <c r="G12" i="46"/>
  <c r="C12" i="46" s="1" a="1"/>
  <c r="C12" i="46" s="1"/>
  <c r="F7" i="46"/>
  <c r="B7" i="46" s="1" a="1"/>
  <c r="B7" i="46" s="1"/>
  <c r="F20" i="46"/>
  <c r="B20" i="46" s="1" a="1"/>
  <c r="B20" i="46" s="1"/>
  <c r="F12" i="46"/>
  <c r="B12" i="46" s="1" a="1"/>
  <c r="B12" i="46" s="1"/>
  <c r="I21" i="46"/>
  <c r="E21" i="46" s="1" a="1"/>
  <c r="E21" i="46" s="1"/>
  <c r="I10" i="46"/>
  <c r="E10" i="46" s="1" a="1"/>
  <c r="E10" i="46" s="1"/>
  <c r="G34" i="46"/>
  <c r="C34" i="46" s="1" a="1"/>
  <c r="C34" i="46" s="1"/>
  <c r="G24" i="46"/>
  <c r="C24" i="46" s="1" a="1"/>
  <c r="C24" i="46" s="1"/>
  <c r="G22" i="46"/>
  <c r="C22" i="46" s="1" a="1"/>
  <c r="C22" i="46" s="1"/>
  <c r="I14" i="46"/>
  <c r="E14" i="46" s="1" a="1"/>
  <c r="E14" i="46" s="1"/>
  <c r="H32" i="46"/>
  <c r="D32" i="46" s="1" a="1"/>
  <c r="D32" i="46" s="1"/>
  <c r="I19" i="46"/>
  <c r="E19" i="46" s="1" a="1"/>
  <c r="E19" i="46" s="1"/>
  <c r="H23" i="46"/>
  <c r="D23" i="46" s="1" a="1"/>
  <c r="D23" i="46" s="1"/>
  <c r="H4" i="46"/>
  <c r="D4" i="46" s="1" a="1"/>
  <c r="D4" i="46" s="1"/>
  <c r="G32" i="46"/>
  <c r="C32" i="46" s="1" a="1"/>
  <c r="C32" i="46" s="1"/>
  <c r="I34" i="46"/>
  <c r="E34" i="46" s="1" a="1"/>
  <c r="E34" i="46" s="1"/>
  <c r="I4" i="46"/>
  <c r="E4" i="46" s="1" a="1"/>
  <c r="E4" i="46" s="1"/>
  <c r="H3" i="46"/>
  <c r="D3" i="46" s="1" a="1"/>
  <c r="D3" i="46" s="1"/>
  <c r="G21" i="46"/>
  <c r="C21" i="46" s="1" a="1"/>
  <c r="C21" i="46" s="1"/>
  <c r="G11" i="46"/>
  <c r="C11" i="46" s="1" a="1"/>
  <c r="C11" i="46" s="1"/>
  <c r="H29" i="46"/>
  <c r="D29" i="46" s="1" a="1"/>
  <c r="D29" i="46" s="1"/>
  <c r="H13" i="46"/>
  <c r="D13" i="46" s="1" a="1"/>
  <c r="D13" i="46" s="1"/>
  <c r="I33" i="46"/>
  <c r="E33" i="46" s="1" a="1"/>
  <c r="E33" i="46" s="1"/>
  <c r="I8" i="46"/>
  <c r="E8" i="46" s="1" a="1"/>
  <c r="E8" i="46" s="1"/>
  <c r="F18" i="46"/>
  <c r="B18" i="46" s="1" a="1"/>
  <c r="B18" i="46" s="1"/>
  <c r="F6" i="46"/>
  <c r="B6" i="46" s="1" a="1"/>
  <c r="B6" i="46" s="1"/>
  <c r="G23" i="46"/>
  <c r="C23" i="46" s="1" a="1"/>
  <c r="C23" i="46" s="1"/>
  <c r="H16" i="46"/>
  <c r="D16" i="46" s="1" a="1"/>
  <c r="D16" i="46" s="1"/>
  <c r="G6" i="46"/>
  <c r="C6" i="46" s="1" a="1"/>
  <c r="C6" i="46" s="1"/>
  <c r="G10" i="46"/>
  <c r="C10" i="46" s="1" a="1"/>
  <c r="C10" i="46" s="1"/>
  <c r="G20" i="46"/>
  <c r="C20" i="46" s="1" a="1"/>
  <c r="C20" i="46" s="1"/>
  <c r="G33" i="46"/>
  <c r="C33" i="46" s="1" a="1"/>
  <c r="C33" i="46" s="1"/>
  <c r="H30" i="46"/>
  <c r="D30" i="46" s="1" a="1"/>
  <c r="D30" i="46" s="1"/>
  <c r="F15" i="46"/>
  <c r="B15" i="46" s="1" a="1"/>
  <c r="B15" i="46" s="1"/>
  <c r="F34" i="46"/>
  <c r="B34" i="46" s="1" a="1"/>
  <c r="B34" i="46" s="1"/>
  <c r="G2" i="46"/>
  <c r="C2" i="46" s="1" a="1"/>
  <c r="C2" i="46" s="1"/>
  <c r="I2" i="46"/>
  <c r="E2" i="46" s="1" a="1"/>
  <c r="E2" i="46" s="1"/>
  <c r="G31" i="46"/>
  <c r="C31" i="46" s="1" a="1"/>
  <c r="C31" i="46" s="1"/>
  <c r="H7" i="46"/>
  <c r="D7" i="46" s="1" a="1"/>
  <c r="D7" i="46" s="1"/>
  <c r="I32" i="46"/>
  <c r="E32" i="46" s="1" a="1"/>
  <c r="E32" i="46" s="1"/>
  <c r="I23" i="46"/>
  <c r="E23" i="46" s="1" a="1"/>
  <c r="E23" i="46" s="1"/>
  <c r="B118" i="30" a="1"/>
  <c r="B118" i="30" s="1"/>
  <c r="I6" i="46"/>
  <c r="E6" i="46" s="1" a="1"/>
  <c r="E6" i="46" s="1"/>
  <c r="G8" i="46"/>
  <c r="C8" i="46" s="1" a="1"/>
  <c r="C8" i="46" s="1"/>
  <c r="F17" i="46"/>
  <c r="B17" i="46" s="1" a="1"/>
  <c r="B17" i="46" s="1"/>
  <c r="G5" i="46"/>
  <c r="C5" i="46" s="1" a="1"/>
  <c r="C5" i="46" s="1"/>
  <c r="H2" i="46"/>
  <c r="D2" i="46" s="1" a="1"/>
  <c r="D2" i="46" s="1"/>
  <c r="F29" i="46"/>
  <c r="B29" i="46" s="1" a="1"/>
  <c r="B29" i="46" s="1"/>
  <c r="H9" i="46"/>
  <c r="D9" i="46" s="1" a="1"/>
  <c r="D9" i="46" s="1"/>
  <c r="H24" i="46"/>
  <c r="D24" i="46" s="1" a="1"/>
  <c r="D24" i="46" s="1"/>
  <c r="I3" i="46"/>
  <c r="E3" i="46" s="1" a="1"/>
  <c r="E3" i="46" s="1"/>
  <c r="F21" i="46"/>
  <c r="B21" i="46" s="1" a="1"/>
  <c r="B21" i="46" s="1"/>
  <c r="H6" i="46"/>
  <c r="D6" i="46" s="1" a="1"/>
  <c r="D6" i="46" s="1"/>
  <c r="H22" i="46"/>
  <c r="D22" i="46" s="1" a="1"/>
  <c r="D22" i="46" s="1"/>
  <c r="H31" i="46"/>
  <c r="D31" i="46" s="1" a="1"/>
  <c r="D31" i="46" s="1"/>
  <c r="I12" i="46"/>
  <c r="E12" i="46" s="1" a="1"/>
  <c r="E12" i="46" s="1"/>
  <c r="F19" i="46"/>
  <c r="B19" i="46" s="1" a="1"/>
  <c r="B19" i="46" s="1"/>
  <c r="G29" i="46"/>
  <c r="C29" i="46" s="1" a="1"/>
  <c r="C29" i="46" s="1"/>
  <c r="I17" i="46"/>
  <c r="E17" i="46" s="1" a="1"/>
  <c r="E17" i="46" s="1"/>
  <c r="H15" i="46"/>
  <c r="D15" i="46" s="1" a="1"/>
  <c r="D15" i="46" s="1"/>
  <c r="H19" i="46"/>
  <c r="D19" i="46" s="1" a="1"/>
  <c r="D19" i="46" s="1"/>
  <c r="F30" i="46"/>
  <c r="B30" i="46" s="1" a="1"/>
  <c r="B30" i="46" s="1"/>
  <c r="I16" i="46"/>
  <c r="E16" i="46" s="1" a="1"/>
  <c r="E16" i="46" s="1"/>
  <c r="H21" i="46"/>
  <c r="D21" i="46" s="1" a="1"/>
  <c r="D21" i="46" s="1"/>
  <c r="F22" i="46"/>
  <c r="B22" i="46" s="1" a="1"/>
  <c r="B22" i="46" s="1"/>
  <c r="G30" i="46"/>
  <c r="C30" i="46" s="1" a="1"/>
  <c r="C30" i="46" s="1"/>
  <c r="F10" i="46"/>
  <c r="B10" i="46" s="1" a="1"/>
  <c r="B10" i="46" s="1"/>
  <c r="F4" i="46"/>
  <c r="B4" i="46" s="1" a="1"/>
  <c r="B4" i="46" s="1"/>
  <c r="G9" i="46"/>
  <c r="C9" i="46" s="1" a="1"/>
  <c r="C9" i="46" s="1"/>
  <c r="F13" i="46"/>
  <c r="B13" i="46" s="1" a="1"/>
  <c r="B13" i="46" s="1"/>
  <c r="F5" i="46"/>
  <c r="B5" i="46" s="1" a="1"/>
  <c r="B5" i="46" s="1"/>
  <c r="I5" i="46"/>
  <c r="E5" i="46" s="1" a="1"/>
  <c r="E5" i="46" s="1"/>
  <c r="B156" i="29"/>
  <c r="B159" i="29"/>
  <c r="B154" i="29"/>
  <c r="B157" i="29"/>
  <c r="B155" i="29"/>
  <c r="B158" i="29"/>
  <c r="B118" i="31"/>
  <c r="B153" i="29" s="1"/>
  <c r="B31" i="30" l="1" a="1"/>
  <c r="B31" i="30" s="1"/>
  <c r="AT8" i="33" s="1" a="1"/>
  <c r="AT8" i="33" s="1"/>
  <c r="AU8" i="33" s="1"/>
  <c r="D80" i="30" a="1"/>
  <c r="D80" i="30" s="1"/>
  <c r="B2" i="46" a="1"/>
  <c r="B2" i="46" s="1"/>
  <c r="B36" i="30" s="1" a="1"/>
  <c r="B36" i="30" s="1"/>
  <c r="BE10" i="33" s="1" a="1"/>
  <c r="BE10" i="33" s="1"/>
  <c r="BF10" i="33" s="1"/>
  <c r="B91" i="30" a="1"/>
  <c r="B91" i="30" s="1"/>
  <c r="B80" i="30" a="1"/>
  <c r="B80" i="30" s="1"/>
  <c r="AW12" i="33" l="1" a="1"/>
  <c r="AW12" i="33" s="1"/>
  <c r="AW16" i="33" a="1"/>
  <c r="AW16" i="33" s="1"/>
  <c r="AX16" i="33" s="1"/>
  <c r="BQ9" i="33" a="1"/>
  <c r="BQ9" i="33" s="1"/>
  <c r="BR9" i="33" s="1"/>
  <c r="AW5" i="33" a="1"/>
  <c r="AW5" i="33" s="1"/>
  <c r="AX5" i="33" s="1"/>
  <c r="AW13" i="33" a="1"/>
  <c r="AW13" i="33" s="1"/>
  <c r="AX13" i="33" s="1"/>
  <c r="AZ10" i="33" a="1"/>
  <c r="AZ10" i="33" s="1"/>
  <c r="BA10" i="33" s="1"/>
  <c r="D53" i="33"/>
  <c r="BN10" i="33" a="1"/>
  <c r="BN10" i="33" s="1"/>
  <c r="BO10" i="33" s="1"/>
  <c r="AW15" i="33" a="1"/>
  <c r="AW15" i="33" s="1"/>
  <c r="AW25" i="33" a="1"/>
  <c r="AW25" i="33" s="1"/>
  <c r="AX25" i="33" s="1"/>
  <c r="BK5" i="33" a="1"/>
  <c r="BK5" i="33" s="1"/>
  <c r="BL5" i="33" s="1"/>
  <c r="D51" i="33"/>
  <c r="AW23" i="33" a="1"/>
  <c r="AW23" i="33" s="1"/>
  <c r="AX23" i="33" s="1"/>
  <c r="AZ12" i="33" a="1"/>
  <c r="AZ12" i="33" s="1"/>
  <c r="BB12" i="33" s="1"/>
  <c r="AW21" i="33" a="1"/>
  <c r="AW21" i="33" s="1"/>
  <c r="AX21" i="33" s="1"/>
  <c r="AZ16" i="33" a="1"/>
  <c r="AZ16" i="33" s="1"/>
  <c r="BB16" i="33" s="1"/>
  <c r="BH11" i="33" a="1"/>
  <c r="BH11" i="33" s="1"/>
  <c r="BJ11" i="33" s="1"/>
  <c r="BK9" i="33" a="1"/>
  <c r="BK9" i="33" s="1"/>
  <c r="BM9" i="33" s="1"/>
  <c r="AW10" i="33" a="1"/>
  <c r="AW10" i="33" s="1"/>
  <c r="AX10" i="33" s="1"/>
  <c r="AZ14" i="33" a="1"/>
  <c r="AZ14" i="33" s="1"/>
  <c r="BA14" i="33" s="1"/>
  <c r="BK7" i="33" a="1"/>
  <c r="BK7" i="33" s="1"/>
  <c r="BL7" i="33" s="1"/>
  <c r="BH6" i="33" a="1"/>
  <c r="BH6" i="33" s="1"/>
  <c r="BI6" i="33" s="1"/>
  <c r="AZ9" i="33" a="1"/>
  <c r="AZ9" i="33" s="1"/>
  <c r="BA9" i="33" s="1"/>
  <c r="AZ27" i="33" a="1"/>
  <c r="AZ27" i="33" s="1"/>
  <c r="BB27" i="33" s="1"/>
  <c r="BN11" i="33" a="1"/>
  <c r="BN11" i="33" s="1"/>
  <c r="BP11" i="33" s="1"/>
  <c r="AW14" i="33" a="1"/>
  <c r="AW14" i="33" s="1"/>
  <c r="AX14" i="33" s="1"/>
  <c r="AZ19" i="33" a="1"/>
  <c r="AZ19" i="33" s="1"/>
  <c r="BA19" i="33" s="1"/>
  <c r="BQ8" i="33" a="1"/>
  <c r="BQ8" i="33" s="1"/>
  <c r="BS8" i="33" s="1"/>
  <c r="AW17" i="33" a="1"/>
  <c r="AW17" i="33" s="1"/>
  <c r="AX17" i="33" s="1"/>
  <c r="AZ20" i="33" a="1"/>
  <c r="AZ20" i="33" s="1"/>
  <c r="BA20" i="33" s="1"/>
  <c r="BH8" i="33" a="1"/>
  <c r="BH8" i="33" s="1"/>
  <c r="BI8" i="33" s="1"/>
  <c r="AZ18" i="33" a="1"/>
  <c r="AZ18" i="33" s="1"/>
  <c r="BB18" i="33" s="1"/>
  <c r="BQ11" i="33" a="1"/>
  <c r="BQ11" i="33" s="1"/>
  <c r="BR11" i="33" s="1"/>
  <c r="AW20" i="33" a="1"/>
  <c r="AW20" i="33" s="1"/>
  <c r="AX20" i="33" s="1"/>
  <c r="AW11" i="33" a="1"/>
  <c r="AW11" i="33" s="1"/>
  <c r="AX11" i="33" s="1"/>
  <c r="BH5" i="33" a="1"/>
  <c r="BH5" i="33" s="1"/>
  <c r="BI5" i="33" s="1"/>
  <c r="BN6" i="33" a="1"/>
  <c r="BN6" i="33" s="1"/>
  <c r="BO6" i="33" s="1"/>
  <c r="AZ26" i="33" a="1"/>
  <c r="AZ26" i="33" s="1"/>
  <c r="BA26" i="33" s="1"/>
  <c r="BN5" i="33" a="1"/>
  <c r="BN5" i="33" s="1"/>
  <c r="BO5" i="33" s="1"/>
  <c r="AZ13" i="33" a="1"/>
  <c r="AZ13" i="33" s="1"/>
  <c r="BB13" i="33" s="1"/>
  <c r="AZ23" i="33" a="1"/>
  <c r="AZ23" i="33" s="1"/>
  <c r="BA23" i="33" s="1"/>
  <c r="AZ25" i="33" a="1"/>
  <c r="AZ25" i="33" s="1"/>
  <c r="BB25" i="33" s="1"/>
  <c r="BQ5" i="33" a="1"/>
  <c r="BQ5" i="33" s="1"/>
  <c r="BR5" i="33" s="1"/>
  <c r="BN9" i="33" a="1"/>
  <c r="BN9" i="33" s="1"/>
  <c r="BO9" i="33" s="1"/>
  <c r="BH9" i="33" a="1"/>
  <c r="BH9" i="33" s="1"/>
  <c r="BI9" i="33" s="1"/>
  <c r="AZ22" i="33" a="1"/>
  <c r="AZ22" i="33" s="1"/>
  <c r="BA22" i="33" s="1"/>
  <c r="AW26" i="33" a="1"/>
  <c r="AW26" i="33" s="1"/>
  <c r="AY26" i="33" s="1"/>
  <c r="AZ7" i="33" a="1"/>
  <c r="AZ7" i="33" s="1"/>
  <c r="BA7" i="33" s="1"/>
  <c r="AW6" i="33" a="1"/>
  <c r="AW6" i="33" s="1"/>
  <c r="AX6" i="33" s="1"/>
  <c r="BQ10" i="33" a="1"/>
  <c r="BQ10" i="33" s="1"/>
  <c r="BR10" i="33" s="1"/>
  <c r="AZ11" i="33" a="1"/>
  <c r="AZ11" i="33" s="1"/>
  <c r="BB11" i="33" s="1"/>
  <c r="AZ24" i="33" a="1"/>
  <c r="AZ24" i="33" s="1"/>
  <c r="BA24" i="33" s="1"/>
  <c r="AZ15" i="33" a="1"/>
  <c r="AZ15" i="33" s="1"/>
  <c r="BA15" i="33" s="1"/>
  <c r="D47" i="33"/>
  <c r="AZ8" i="33" a="1"/>
  <c r="AZ8" i="33" s="1"/>
  <c r="BA8" i="33" s="1"/>
  <c r="H47" i="33"/>
  <c r="D52" i="33"/>
  <c r="BK6" i="33" a="1"/>
  <c r="BK6" i="33" s="1"/>
  <c r="BL6" i="33" s="1"/>
  <c r="BK8" i="33" a="1"/>
  <c r="BK8" i="33" s="1"/>
  <c r="BM8" i="33" s="1"/>
  <c r="BN8" i="33" a="1"/>
  <c r="BN8" i="33" s="1"/>
  <c r="BO8" i="33" s="1"/>
  <c r="BK10" i="33" a="1"/>
  <c r="BK10" i="33" s="1"/>
  <c r="BM10" i="33" s="1"/>
  <c r="AW24" i="33" a="1"/>
  <c r="AW24" i="33" s="1"/>
  <c r="AX24" i="33" s="1"/>
  <c r="AW7" i="33" a="1"/>
  <c r="AW7" i="33" s="1"/>
  <c r="AX7" i="33" s="1"/>
  <c r="AW8" i="33" a="1"/>
  <c r="AW8" i="33" s="1"/>
  <c r="AX8" i="33" s="1"/>
  <c r="AW19" i="33" a="1"/>
  <c r="AW19" i="33" s="1"/>
  <c r="AX19" i="33" s="1"/>
  <c r="AZ21" i="33" a="1"/>
  <c r="AZ21" i="33" s="1"/>
  <c r="BA21" i="33" s="1"/>
  <c r="BH7" i="33" a="1"/>
  <c r="BH7" i="33" s="1"/>
  <c r="BI7" i="33" s="1"/>
  <c r="D50" i="33"/>
  <c r="BQ6" i="33" a="1"/>
  <c r="BQ6" i="33" s="1"/>
  <c r="BR6" i="33" s="1"/>
  <c r="BN7" i="33" a="1"/>
  <c r="BN7" i="33" s="1"/>
  <c r="BO7" i="33" s="1"/>
  <c r="BQ7" i="33" a="1"/>
  <c r="BQ7" i="33" s="1"/>
  <c r="BR7" i="33" s="1"/>
  <c r="BH10" i="33" a="1"/>
  <c r="BH10" i="33" s="1"/>
  <c r="BI10" i="33" s="1"/>
  <c r="D46" i="33"/>
  <c r="AZ5" i="33" a="1"/>
  <c r="AZ5" i="33" s="1"/>
  <c r="BA5" i="33" s="1"/>
  <c r="AZ6" i="33" a="1"/>
  <c r="AZ6" i="33" s="1"/>
  <c r="BA6" i="33" s="1"/>
  <c r="AZ17" i="33" a="1"/>
  <c r="AZ17" i="33" s="1"/>
  <c r="BA17" i="33" s="1"/>
  <c r="AW9" i="33" a="1"/>
  <c r="AW9" i="33" s="1"/>
  <c r="AY9" i="33" s="1"/>
  <c r="AW27" i="33" a="1"/>
  <c r="AW27" i="33" s="1"/>
  <c r="AX27" i="33" s="1"/>
  <c r="AW22" i="33" a="1"/>
  <c r="AW22" i="33" s="1"/>
  <c r="AX22" i="33" s="1"/>
  <c r="H46" i="33"/>
  <c r="AW18" i="33" a="1"/>
  <c r="AW18" i="33" s="1"/>
  <c r="AY18" i="33" s="1"/>
  <c r="BK11" i="33" a="1"/>
  <c r="BK11" i="33" s="1"/>
  <c r="BM11" i="33" s="1"/>
  <c r="H53" i="33"/>
  <c r="H52" i="33"/>
  <c r="H50" i="33"/>
  <c r="H51" i="33"/>
  <c r="D91" i="30" a="1"/>
  <c r="D91" i="30" s="1"/>
  <c r="BE5" i="33" a="1"/>
  <c r="BE5" i="33" s="1"/>
  <c r="BF5" i="33" s="1"/>
  <c r="BE7" i="33" a="1"/>
  <c r="BE7" i="33" s="1"/>
  <c r="BF7" i="33" s="1"/>
  <c r="D49" i="33"/>
  <c r="BE6" i="33" a="1"/>
  <c r="BE6" i="33" s="1"/>
  <c r="BF6" i="33" s="1"/>
  <c r="BE9" i="33" a="1"/>
  <c r="BE9" i="33" s="1"/>
  <c r="BE11" i="33" a="1"/>
  <c r="BE11" i="33" s="1"/>
  <c r="BF11" i="33" s="1"/>
  <c r="AT5" i="33" a="1"/>
  <c r="AT5" i="33" s="1"/>
  <c r="AU5" i="33" s="1"/>
  <c r="AT26" i="33" a="1"/>
  <c r="AT26" i="33" s="1"/>
  <c r="AU26" i="33" s="1"/>
  <c r="AT15" i="33" a="1"/>
  <c r="AT15" i="33" s="1"/>
  <c r="AU15" i="33" s="1"/>
  <c r="AT7" i="33" a="1"/>
  <c r="AT7" i="33" s="1"/>
  <c r="AU7" i="33" s="1"/>
  <c r="AT16" i="33" a="1"/>
  <c r="AT16" i="33" s="1"/>
  <c r="AU16" i="33" s="1"/>
  <c r="BS11" i="33"/>
  <c r="AT21" i="33" a="1"/>
  <c r="AT21" i="33" s="1"/>
  <c r="AU21" i="33" s="1"/>
  <c r="AT20" i="33" a="1"/>
  <c r="AT20" i="33" s="1"/>
  <c r="AU20" i="33" s="1"/>
  <c r="H45" i="33"/>
  <c r="BE8" i="33" a="1"/>
  <c r="BE8" i="33" s="1"/>
  <c r="H49" i="33"/>
  <c r="AT19" i="33" a="1"/>
  <c r="AT19" i="33" s="1"/>
  <c r="AU19" i="33" s="1"/>
  <c r="AT14" i="33" a="1"/>
  <c r="AT14" i="33" s="1"/>
  <c r="AU14" i="33" s="1"/>
  <c r="AT27" i="33" a="1"/>
  <c r="AT27" i="33" s="1"/>
  <c r="AV27" i="33" s="1"/>
  <c r="D45" i="33"/>
  <c r="AT9" i="33" a="1"/>
  <c r="AT9" i="33" s="1"/>
  <c r="AU9" i="33" s="1"/>
  <c r="AT10" i="33" a="1"/>
  <c r="AT10" i="33" s="1"/>
  <c r="AU10" i="33" s="1"/>
  <c r="AT25" i="33" a="1"/>
  <c r="AT25" i="33" s="1"/>
  <c r="AU25" i="33" s="1"/>
  <c r="AT13" i="33" a="1"/>
  <c r="AT13" i="33" s="1"/>
  <c r="AU13" i="33" s="1"/>
  <c r="AT18" i="33" a="1"/>
  <c r="AT18" i="33" s="1"/>
  <c r="AU18" i="33" s="1"/>
  <c r="AT12" i="33" a="1"/>
  <c r="AT12" i="33" s="1"/>
  <c r="AU12" i="33" s="1"/>
  <c r="AT24" i="33" a="1"/>
  <c r="AT24" i="33" s="1"/>
  <c r="AU24" i="33" s="1"/>
  <c r="AT22" i="33" a="1"/>
  <c r="AT22" i="33" s="1"/>
  <c r="AU22" i="33" s="1"/>
  <c r="AT11" i="33" a="1"/>
  <c r="AT11" i="33" s="1"/>
  <c r="AU11" i="33" s="1"/>
  <c r="AT23" i="33" a="1"/>
  <c r="AT23" i="33" s="1"/>
  <c r="AU23" i="33" s="1"/>
  <c r="AT17" i="33" a="1"/>
  <c r="AT17" i="33" s="1"/>
  <c r="AU17" i="33" s="1"/>
  <c r="AT6" i="33" a="1"/>
  <c r="AT6" i="33" s="1"/>
  <c r="AU6" i="33" s="1"/>
  <c r="BB23" i="33"/>
  <c r="AY11" i="33"/>
  <c r="AX18" i="33"/>
  <c r="AY5" i="33"/>
  <c r="AY10" i="33"/>
  <c r="BA12" i="33"/>
  <c r="BB19" i="33"/>
  <c r="AX12" i="33"/>
  <c r="AY15" i="33"/>
  <c r="AX15" i="33"/>
  <c r="BP8" i="33"/>
  <c r="BS9" i="33"/>
  <c r="BO11" i="33"/>
  <c r="BM5" i="33"/>
  <c r="BI11" i="33"/>
  <c r="BB22" i="33" l="1"/>
  <c r="BB10" i="33"/>
  <c r="BB20" i="33"/>
  <c r="BJ9" i="33"/>
  <c r="AY24" i="33"/>
  <c r="AY12" i="33"/>
  <c r="BP9" i="33"/>
  <c r="BR8" i="33"/>
  <c r="BB14" i="33"/>
  <c r="BB17" i="33"/>
  <c r="AY13" i="33"/>
  <c r="AY23" i="33"/>
  <c r="BB24" i="33"/>
  <c r="BB26" i="33"/>
  <c r="BB6" i="33"/>
  <c r="AY6" i="33"/>
  <c r="BL8" i="33"/>
  <c r="BA11" i="33"/>
  <c r="BL9" i="33"/>
  <c r="BA25" i="33"/>
  <c r="AY14" i="33"/>
  <c r="BA16" i="33"/>
  <c r="BL10" i="33"/>
  <c r="AY25" i="33"/>
  <c r="AY16" i="33"/>
  <c r="AY17" i="33"/>
  <c r="BP5" i="33"/>
  <c r="AX9" i="33"/>
  <c r="BA27" i="33"/>
  <c r="BP10" i="33"/>
  <c r="BA18" i="33"/>
  <c r="BA13" i="33"/>
  <c r="BJ5" i="33"/>
  <c r="BP7" i="33"/>
  <c r="BP6" i="33"/>
  <c r="AX26" i="33"/>
  <c r="BS6" i="33"/>
  <c r="AY7" i="33"/>
  <c r="BB9" i="33"/>
  <c r="AY20" i="33"/>
  <c r="BB8" i="33"/>
  <c r="BJ8" i="33"/>
  <c r="AY19" i="33"/>
  <c r="AY22" i="33"/>
  <c r="AY21" i="33"/>
  <c r="BS7" i="33"/>
  <c r="BB5" i="33"/>
  <c r="BM6" i="33"/>
  <c r="BS5" i="33"/>
  <c r="BB21" i="33"/>
  <c r="BS10" i="33"/>
  <c r="BJ6" i="33"/>
  <c r="AY27" i="33"/>
  <c r="BB7" i="33"/>
  <c r="BJ10" i="33"/>
  <c r="BJ7" i="33"/>
  <c r="AY8" i="33"/>
  <c r="BM7" i="33"/>
  <c r="BL11" i="33"/>
  <c r="BG10" i="33"/>
  <c r="BG5" i="33"/>
  <c r="BG7" i="33"/>
  <c r="BG6" i="33"/>
  <c r="AV26" i="33"/>
  <c r="BG9" i="33"/>
  <c r="BG11" i="33"/>
  <c r="BF9" i="33"/>
  <c r="AV15" i="33"/>
  <c r="BF8" i="33"/>
  <c r="BG8" i="33"/>
  <c r="AV25" i="33"/>
  <c r="AV8" i="33"/>
  <c r="AV19" i="33"/>
  <c r="AU27" i="33"/>
  <c r="AV13" i="33"/>
  <c r="AV6" i="33"/>
  <c r="AV24" i="33"/>
  <c r="AV10" i="33"/>
  <c r="AV14" i="33"/>
  <c r="AV23" i="33"/>
  <c r="AV11" i="33"/>
  <c r="AV9" i="33"/>
  <c r="AV5" i="33"/>
  <c r="AV17" i="33"/>
  <c r="AV16" i="33"/>
  <c r="AV7" i="33"/>
  <c r="AV18" i="33"/>
  <c r="AV12" i="33"/>
  <c r="AV21" i="33"/>
  <c r="AV22" i="33"/>
  <c r="AV20" i="33"/>
  <c r="BP4" i="33" l="1"/>
  <c r="F52" i="33" s="1"/>
  <c r="B52" i="33" s="1"/>
  <c r="E39" i="30" s="1"/>
  <c r="BS4" i="33"/>
  <c r="F53" i="33" s="1"/>
  <c r="B53" i="33" s="1"/>
  <c r="E40" i="30" s="1"/>
  <c r="BB4" i="33"/>
  <c r="F47" i="33" s="1"/>
  <c r="B47" i="33" s="1"/>
  <c r="E33" i="30" s="1"/>
  <c r="AY4" i="33"/>
  <c r="F46" i="33" s="1"/>
  <c r="B46" i="33" s="1"/>
  <c r="E32" i="30" s="1"/>
  <c r="BJ4" i="33"/>
  <c r="F50" i="33" s="1"/>
  <c r="B50" i="33" s="1"/>
  <c r="E37" i="30" s="1"/>
  <c r="BM4" i="33"/>
  <c r="F51" i="33" s="1"/>
  <c r="B51" i="33" s="1"/>
  <c r="E38" i="30" s="1"/>
  <c r="BG4" i="33"/>
  <c r="F49" i="33" s="1"/>
  <c r="B49" i="33" s="1"/>
  <c r="E36" i="30" s="1"/>
  <c r="AV4" i="33"/>
  <c r="F45" i="33" s="1"/>
  <c r="B45" i="33" l="1"/>
  <c r="E31" i="3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<sst xmlns="http://schemas.openxmlformats.org/spreadsheetml/2006/main" count="3099" uniqueCount="557">
  <si>
    <t>Workbook</t>
  </si>
  <si>
    <t>JOB NAME:</t>
  </si>
  <si>
    <t>Auckland Council CIAT</t>
  </si>
  <si>
    <t xml:space="preserve">   JOB NO:</t>
  </si>
  <si>
    <t>Climate Impact Assessment Tool</t>
  </si>
  <si>
    <t>Purpose:</t>
  </si>
  <si>
    <t xml:space="preserve">Assess climate adaptation  and mitigaiton risks/opportunities </t>
  </si>
  <si>
    <t>Approval:</t>
  </si>
  <si>
    <t>Rick Lomax</t>
  </si>
  <si>
    <t xml:space="preserve">   DATE:</t>
  </si>
  <si>
    <t>SIGN OFF</t>
  </si>
  <si>
    <t>STRUCTURE</t>
  </si>
  <si>
    <t>Tab</t>
  </si>
  <si>
    <t>Introduction</t>
  </si>
  <si>
    <t>Created by:</t>
  </si>
  <si>
    <t>Naira de Gracia, Nola Smart, Georgina Blane, Mat Sycamore</t>
  </si>
  <si>
    <t>Reviewed:</t>
  </si>
  <si>
    <t>Amended by:</t>
  </si>
  <si>
    <t>Admin Questions</t>
  </si>
  <si>
    <t>Screening</t>
  </si>
  <si>
    <t>Mitigation</t>
  </si>
  <si>
    <t>Adaptation</t>
  </si>
  <si>
    <t>Output report</t>
  </si>
  <si>
    <t>Export</t>
  </si>
  <si>
    <t>Mary Coulton</t>
  </si>
  <si>
    <t>Rapid Climate Risk Assessment Framework</t>
  </si>
  <si>
    <t>FOR INTERNAL USE ONLY</t>
  </si>
  <si>
    <t>Purpose and Introduction</t>
  </si>
  <si>
    <t>Instructions</t>
  </si>
  <si>
    <t>Version Control</t>
  </si>
  <si>
    <t>Version</t>
  </si>
  <si>
    <t>Launched</t>
  </si>
  <si>
    <t>Comment</t>
  </si>
  <si>
    <t>Changes</t>
  </si>
  <si>
    <t>First version for internal testing</t>
  </si>
  <si>
    <t>Tool Limitations and Disclaimers</t>
  </si>
  <si>
    <t>Unless specifically stated otherwise in this report, Beca has relied on the accuracy, completeness, currency and sufficiency of all information provided to it by, or on behalf of, any third party, including the information listed above, and has not independently verified the information provided. Beca accepts no responsibility for errors or omissions in, or the currency or sufficiency of, the information provided. Publicly available records are often inaccurate or incomplete.</t>
  </si>
  <si>
    <t xml:space="preserve">Where information has been provided by or on behalf of the Client, the Client confirms and warrants that it has the right to use such information for the purpose stated in the report. </t>
  </si>
  <si>
    <t>Beca makes no warranties or representations to the Client or third parties (express or implied) in respect of the report, particularly with regard to any commercial investment decision made on the basis of the report. This disclaimer must accompany every copy of the report, which is an integral document and must be read in its entirety.</t>
  </si>
  <si>
    <t>This report should be read in full, having regard to all stated assumptions, limitations and disclaimers. To the maximum extent permitted by law, no responsibility is accepted for the use of any part of this report in any other context or for any other purpose not stated in this report.</t>
  </si>
  <si>
    <t>S0</t>
  </si>
  <si>
    <t>S1</t>
  </si>
  <si>
    <t>Yes</t>
  </si>
  <si>
    <t>Dropdowns</t>
  </si>
  <si>
    <t>Natural Features</t>
  </si>
  <si>
    <t>Built Features</t>
  </si>
  <si>
    <t>Operations</t>
  </si>
  <si>
    <t>Section 0</t>
  </si>
  <si>
    <t>No</t>
  </si>
  <si>
    <t>Date:</t>
  </si>
  <si>
    <t>Name of person filling out questions:</t>
  </si>
  <si>
    <t>Section 1</t>
  </si>
  <si>
    <t>1.2a</t>
  </si>
  <si>
    <t>1.2aa</t>
  </si>
  <si>
    <t>Please add any commentary on your answer here:</t>
  </si>
  <si>
    <t>1.2b</t>
  </si>
  <si>
    <t>1.2ba</t>
  </si>
  <si>
    <t>Please add any commentary on your answers here:</t>
  </si>
  <si>
    <t>1.2c</t>
  </si>
  <si>
    <t>1.2ca</t>
  </si>
  <si>
    <t>Section 2</t>
  </si>
  <si>
    <t>if 2.1 has text then show 2.2</t>
  </si>
  <si>
    <t>In response:</t>
  </si>
  <si>
    <t>Definition</t>
  </si>
  <si>
    <t>Coastal/Marine Ecosystem</t>
  </si>
  <si>
    <t>Terrestrial Ecosystem</t>
  </si>
  <si>
    <t xml:space="preserve">Freshwater Ecosystem </t>
  </si>
  <si>
    <t>Telecommunications</t>
  </si>
  <si>
    <t xml:space="preserve">Telecommunications refers to all infrastructure associated with information transmitting technologies and communications, including wired phones, cellphones, radio and television broadcasting and the internet. </t>
  </si>
  <si>
    <t xml:space="preserve">Electricity </t>
  </si>
  <si>
    <t>Wastewater Infrastructure</t>
  </si>
  <si>
    <t xml:space="preserve">Wastewater infrastructure refers to the network of pipes that collect and carry residential, business and industrial effluents to wastewater treatment systems, and the treatment systems themselves. </t>
  </si>
  <si>
    <t xml:space="preserve">Water Supply </t>
  </si>
  <si>
    <t>Storm Water/Flood Management</t>
  </si>
  <si>
    <t>Evacuation Structures</t>
  </si>
  <si>
    <t xml:space="preserve">Outdoor Land activities </t>
  </si>
  <si>
    <t xml:space="preserve">Outdoor land activities refers to operations that take place inland and aren't protected by buildings/infrastructure, for example farming, tourist activities like hiking and ziplining. </t>
  </si>
  <si>
    <t xml:space="preserve">Outdoor Marine Activities </t>
  </si>
  <si>
    <t xml:space="preserve">Outdoor Freshwater Activities </t>
  </si>
  <si>
    <t>Outdoor Coastal Activities</t>
  </si>
  <si>
    <t xml:space="preserve">Outdoor coastal activities refers to operations taking place within the coastal environment, for example surfing and fishing. </t>
  </si>
  <si>
    <t xml:space="preserve">Office/Shop/Admin Activities </t>
  </si>
  <si>
    <t xml:space="preserve">Construction Activities </t>
  </si>
  <si>
    <t>FIXED</t>
  </si>
  <si>
    <t xml:space="preserve">Vulnerability </t>
  </si>
  <si>
    <t>Vulnerability - Climate Variables/Explainers</t>
  </si>
  <si>
    <t>Exposure Present Climate Variables/Explainers</t>
  </si>
  <si>
    <t>Exposure 2050 Climate Variables/Explainers</t>
  </si>
  <si>
    <t>Exposure 2100 Climate Variables/Explainers</t>
  </si>
  <si>
    <t>Features</t>
  </si>
  <si>
    <t>Elements at Risk</t>
  </si>
  <si>
    <t>V - Coastal Inundation</t>
  </si>
  <si>
    <t>V - Extreme Rainfall</t>
  </si>
  <si>
    <t>V - Tropical Cyclone</t>
  </si>
  <si>
    <t>V - Drought</t>
  </si>
  <si>
    <t>V - Ocean Acidification</t>
  </si>
  <si>
    <t>EP - Coastal Inundation</t>
  </si>
  <si>
    <t>EP - Extreme Rainfall</t>
  </si>
  <si>
    <t>EP - Tropical Cyclone</t>
  </si>
  <si>
    <t>EP - Drought</t>
  </si>
  <si>
    <t>EP - Ocean Acidification</t>
  </si>
  <si>
    <t>E2050 - Coastal Inundation</t>
  </si>
  <si>
    <t>E2050 - Extreme Rainfall</t>
  </si>
  <si>
    <t>E2050 - Tropical Cyclone</t>
  </si>
  <si>
    <t>E2050 - Drought</t>
  </si>
  <si>
    <t>E2050 - Ocean Acidification</t>
  </si>
  <si>
    <t>E2100 - Coastal Inundation</t>
  </si>
  <si>
    <t>E2100 - Extreme Rainfall</t>
  </si>
  <si>
    <t>E2100 - Tropical Cyclone</t>
  </si>
  <si>
    <t>E2100 - Drought</t>
  </si>
  <si>
    <t>E2100 - Ocean Acidification</t>
  </si>
  <si>
    <t xml:space="preserve">Natural </t>
  </si>
  <si>
    <t>Coastal / Marine Ecosystems</t>
  </si>
  <si>
    <t>E</t>
  </si>
  <si>
    <t>H</t>
  </si>
  <si>
    <t>L</t>
  </si>
  <si>
    <t>M</t>
  </si>
  <si>
    <t>Terrestrial Ecosystems</t>
  </si>
  <si>
    <t>N/A</t>
  </si>
  <si>
    <t>Freshwater Ecosystems</t>
  </si>
  <si>
    <t>Built</t>
  </si>
  <si>
    <t>Electricity</t>
  </si>
  <si>
    <t>Water Supply</t>
  </si>
  <si>
    <t>ADJUSTED</t>
  </si>
  <si>
    <t>Climate Variables/Explainers</t>
  </si>
  <si>
    <t>Vulnerability Header</t>
  </si>
  <si>
    <t>Exposure Present Header</t>
  </si>
  <si>
    <t>Exposure 2050 Header</t>
  </si>
  <si>
    <t>Exposure 2100 Header</t>
  </si>
  <si>
    <t>Vulnerability Rating</t>
  </si>
  <si>
    <t>Risk Statement</t>
  </si>
  <si>
    <t>Present</t>
  </si>
  <si>
    <t>Include</t>
  </si>
  <si>
    <t>Coastal Inundation</t>
  </si>
  <si>
    <t>Extreme Rainfall</t>
  </si>
  <si>
    <t>Tropical Cyclone</t>
  </si>
  <si>
    <t>Drought</t>
  </si>
  <si>
    <t>Ocean Acidification</t>
  </si>
  <si>
    <t>Completion date:</t>
  </si>
  <si>
    <t>Incomplete</t>
  </si>
  <si>
    <t>Assessment completed by:</t>
  </si>
  <si>
    <t>Industry/sector assessed:</t>
  </si>
  <si>
    <t>OR IF NO ANSWER</t>
  </si>
  <si>
    <t xml:space="preserve">The user has stated the objective of completing the Rapid Climate Risk Assessment is as follows: </t>
  </si>
  <si>
    <t xml:space="preserve">The industry relies on </t>
  </si>
  <si>
    <t>natural features.</t>
  </si>
  <si>
    <t>built features.</t>
  </si>
  <si>
    <t>both natural and built features.</t>
  </si>
  <si>
    <t xml:space="preserve">This includes reliance on the following natural features: </t>
  </si>
  <si>
    <t xml:space="preserve">This includes reliance on the following built features: </t>
  </si>
  <si>
    <t xml:space="preserve">The industry also relies on the following built features: </t>
  </si>
  <si>
    <t>The user has not identified the involvement of any operations or activities in the industry.</t>
  </si>
  <si>
    <t>Risk Ratings</t>
  </si>
  <si>
    <t>Exposure</t>
  </si>
  <si>
    <t>Vulnerability rating</t>
  </si>
  <si>
    <t>Vulnerability</t>
  </si>
  <si>
    <t xml:space="preserve">Extremely likely to be adversely affected, because the element or asset is highly sensitive to a given hazard and has a low capacity to adapt. </t>
  </si>
  <si>
    <t>High</t>
  </si>
  <si>
    <t>Highly likely to be adversely affected, because the element or asset is highly sensitive to a given hazard and has a low capacity to adapt.</t>
  </si>
  <si>
    <t>Moderate</t>
  </si>
  <si>
    <t xml:space="preserve">Moderately likely to be adversely affected, because the element is moderately sensitive to a given hazard and has a low or moderate capacity to adapt. </t>
  </si>
  <si>
    <t>Low</t>
  </si>
  <si>
    <t xml:space="preserve">Low likelihood of being adversely affected, because the element has low sensitivity to a given hazard and a high capacity to adapt. </t>
  </si>
  <si>
    <t>Exposure rating</t>
  </si>
  <si>
    <t>Rating Order</t>
  </si>
  <si>
    <t>Update?</t>
  </si>
  <si>
    <t>Extreme</t>
  </si>
  <si>
    <t>No natural feature reliance was identified.</t>
  </si>
  <si>
    <t>No built feature reliance was identified.</t>
  </si>
  <si>
    <t>No operations or activities were identified.</t>
  </si>
  <si>
    <t>Answer wanted</t>
  </si>
  <si>
    <t>Answer from response</t>
  </si>
  <si>
    <t xml:space="preserve">Outdoor freshwater activities refers to operations taking place within freshwater environments, for example fishing and recreational swimming. </t>
  </si>
  <si>
    <t xml:space="preserve">Office/shop/admin activities refers to operations taking place within buildings, for example, retail, desktop based business, education and indoor training. </t>
  </si>
  <si>
    <t>Risk</t>
  </si>
  <si>
    <t xml:space="preserve">Adaptation </t>
  </si>
  <si>
    <t xml:space="preserve">Adaptive Capacity </t>
  </si>
  <si>
    <t xml:space="preserve">Consequence </t>
  </si>
  <si>
    <t xml:space="preserve">Elements at risk </t>
  </si>
  <si>
    <t xml:space="preserve">Exposure </t>
  </si>
  <si>
    <t xml:space="preserve">Hazard </t>
  </si>
  <si>
    <t>Impacts</t>
  </si>
  <si>
    <t xml:space="preserve">Sensitivity </t>
  </si>
  <si>
    <t>The ability of systems, institutions, humans, and other organisms to adjust to potential damage, to take advantage of opportunities, or to respond to consequences.</t>
  </si>
  <si>
    <t>A changing aspect of the climate system that influences a component of a human or natural system.</t>
  </si>
  <si>
    <t xml:space="preserve">The outcome of an event that may result from a hazard. It can be expressed quantitatively (e.g., units of damage or loss, disruption period, monetary value of impacts or environmental effect), semi-quantitatively by category (e.g., high, medium, low level of impact) or qualitatively (a description of the impacts). </t>
  </si>
  <si>
    <t xml:space="preserve">Refers to the degree to which an element at risk is affected, either adversely or beneficially, by climate variability or change. Sensitivity relates to how the element will fare when exposed to a hazard, which is a function of its properties or characteristics. </t>
  </si>
  <si>
    <r>
      <t>Where there is a direct link between a hazard and an element at risk that is exposed and vulnerable. For example, storms and flooding damaging buildings and infrastructure, droughts leading to crop failure, or extreme temperatures causing heat stress.</t>
    </r>
    <r>
      <rPr>
        <b/>
        <sz val="14"/>
        <rFont val="Arial Nova"/>
        <family val="2"/>
      </rPr>
      <t xml:space="preserve"> </t>
    </r>
  </si>
  <si>
    <t xml:space="preserve">Airports refers to all 26 airports in Vanuatu, including operational assets such as the airplanes, runways, vehicles etc. </t>
  </si>
  <si>
    <t xml:space="preserve">Stormwater/flood management refers to all stormwater infrastructure and assets, and any flood management infrastructure in place </t>
  </si>
  <si>
    <t xml:space="preserve">Water supply refers to the source, treatment, transportation and distribution of potable water, for example wells, bores, pumps, pipe networks and treatment facilities. </t>
  </si>
  <si>
    <t xml:space="preserve">What climate hazards have impacted your industry in the past? </t>
  </si>
  <si>
    <t>If there are other elements not identified here, please review your above responses.</t>
  </si>
  <si>
    <t>Given your understanding of your industry do you agree with the initial vulnerability scoring?</t>
  </si>
  <si>
    <t>Initial</t>
  </si>
  <si>
    <t>Please describe how the climate hazard(s) impacted your industry's people, property and systems/processes:</t>
  </si>
  <si>
    <t>Section 3</t>
  </si>
  <si>
    <t>The above exercise has identified the following elements relevant to your industry:</t>
  </si>
  <si>
    <t>Industry relevant element</t>
  </si>
  <si>
    <t>Has this management approach been tested in an event?</t>
  </si>
  <si>
    <t>The presence of people; livelihoods; species or ecosystems; environmental functions, services and resources; infrastructure; or economic, social, or cultural assets in places and settings that could be adversely affected.</t>
  </si>
  <si>
    <t>The potential occurrence of a physical event or trend that may cause loss of life, injury, or other health impacts, as well as damage and loss to property, infrastructure, livelihoods, service provision, ecosystems and environmental resources.</t>
  </si>
  <si>
    <t>The consequences of realized risks on natural and human systems, where risks result from the interactions of climate-related hazards, exposure and vulnerability. Impacts generally refer to effects on lives, livelihoods, health and well-being, ecosystems and species, socio-economic and cultural assets, services and infrastructure. Impacts may be adverse or beneficial.</t>
  </si>
  <si>
    <t>Marine heatwaves (MHWs) are a “discrete, prolonged anomalously warm water event” which lasts for five or more days, with temperatures warmer than the 90th percentile. MHW events were defined by their duration (number of days above the 90th percentile threshold), maximum intensity (maximum temperature above the climatological mean attained during the event), mean intensity, and cumulative intensity (sum of the daily intensities through the duration of the MHW event occurrence; Hobday et al. 2016). MHWs are categorised into four intensity categories, defined by multiples of difference between the mean climatology and the 90th percentile threshold, and includes “Moderate” (Category I, 1-2x), “Strong” (Category II, 2-3x), “Severe” (Category III, 3–4×), and “Extreme” (Category IV, &gt;4x).</t>
  </si>
  <si>
    <t>The potential for adverse consequences for human or ecological systems, recognising the diversity of values and objectives associated with such systems. Relevant adverse consequences include those on lives, livelihoods, health and wellbeing, economic, social and cultural assets and investments, infrastructure, services (including ecosystem services), ecosystems, and species. Risks result from interactions between climate-related hazards with the exposure and vulnerability of the affected system.</t>
  </si>
  <si>
    <t>The temperature of the ocean surface. The term sea-surface temperature is generally representative of the upper few metres of the ocean as opposed to the skin temperature, which is the temperature of the upper few centimetres.</t>
  </si>
  <si>
    <t>The understandings, skills and philosophies developed by societies with long histories of interaction with their natural surroundings. For many indigenous peoples, this knowledge informs decision-making about fundamental aspects of life, from day-to-day activities to longer-term actions. This Traditional Knowledge (TK) is integral to cultural complexes, which also encompass language, systems of classification, resource use practices, social interactions, values, ritual and spirituality. The TK informs weather and climate predictions based on the behaviour of plants and animals, temperature and rainfall, and astronomical indicators such as stars and the sun.</t>
  </si>
  <si>
    <t>The propensity or predisposition to be adversely affected. Vulnerability encompasses a variety of concepts and elements including sensitivity or susceptibility to harm, and lack of capacity to cope and adapt</t>
  </si>
  <si>
    <t xml:space="preserve">Coastal inundation is the flooding of coastal areas, caused by a range of factors, including tides, storm surges, storm waves, interannual sea level variability and sea level rise. </t>
  </si>
  <si>
    <t xml:space="preserve">Drought is an acute lack of water compared to normal conditions due to a lack of rainfall over an extended period, usually more than a few months. The water shortage can impact activities, groups, sectors and related natural resources. </t>
  </si>
  <si>
    <t>Inhabited Buildings</t>
  </si>
  <si>
    <t>Ports/Wharves</t>
  </si>
  <si>
    <t>Uninhabited Buildings</t>
  </si>
  <si>
    <t>User Defined, or Other</t>
  </si>
  <si>
    <t xml:space="preserve">Inhabited buildings refers to all buildings in which people reside or work, relating to the industry and its operations. For example, office buildings, shops, hotels etc. </t>
  </si>
  <si>
    <t xml:space="preserve">Any element not listed that is relevant to the industry and its operations. </t>
  </si>
  <si>
    <t>Glossary</t>
  </si>
  <si>
    <t>Construction Activities</t>
  </si>
  <si>
    <t>Ports / Wharves</t>
  </si>
  <si>
    <t>Goods Supply Activities</t>
  </si>
  <si>
    <t>Airports / Airfields</t>
  </si>
  <si>
    <t>Office / Shop / Admin Activities</t>
  </si>
  <si>
    <t>Water Transportation Activities</t>
  </si>
  <si>
    <t>Transportation Assets</t>
  </si>
  <si>
    <t>Stormwater / Flood Management</t>
  </si>
  <si>
    <t>Outdoor Freshwater Activities</t>
  </si>
  <si>
    <t>Outdoor Marine Activities</t>
  </si>
  <si>
    <t>Outdoor Land Activities</t>
  </si>
  <si>
    <t>Rating Score</t>
  </si>
  <si>
    <t>Risk Score - Present</t>
  </si>
  <si>
    <t>Risk Score - 2050</t>
  </si>
  <si>
    <t>Other / User defined:</t>
  </si>
  <si>
    <t>Interactions with climate hazards</t>
  </si>
  <si>
    <t>Exposure of elements</t>
  </si>
  <si>
    <t>E (Extreme)</t>
  </si>
  <si>
    <t>H (High)</t>
  </si>
  <si>
    <t>M (Moderate)</t>
  </si>
  <si>
    <t>L (Low)</t>
  </si>
  <si>
    <t>N/A (Not Applicable)</t>
  </si>
  <si>
    <t>Risk Score - 2100</t>
  </si>
  <si>
    <t>Rating Present</t>
  </si>
  <si>
    <t>Rating 2050</t>
  </si>
  <si>
    <t>Rating 2100</t>
  </si>
  <si>
    <t>Present Threshold Lower</t>
  </si>
  <si>
    <t>Present Threshold Upper</t>
  </si>
  <si>
    <t>2050 Threshold Lower</t>
  </si>
  <si>
    <t>2050 Threshold Upper</t>
  </si>
  <si>
    <t>2100 Threshold Lower</t>
  </si>
  <si>
    <t>2100 Threshold Upper</t>
  </si>
  <si>
    <t>Any past climate hazard impact?</t>
  </si>
  <si>
    <t>Include?</t>
  </si>
  <si>
    <t>What it considers:</t>
  </si>
  <si>
    <t>whether impacted in past, within 100m of coast or less than 10m elevation</t>
  </si>
  <si>
    <t>whether impacted in past, less than 10m elevation or  near river/stream/lake with history of flooding</t>
  </si>
  <si>
    <t>all</t>
  </si>
  <si>
    <t>whether impacted in past or rely on natural water supply</t>
  </si>
  <si>
    <t>whether impacted in past or located in ocean</t>
  </si>
  <si>
    <t>whether impacted in past or rely on natural water supply or high temperatures impact effectiveness or safety</t>
  </si>
  <si>
    <r>
      <rPr>
        <b/>
        <sz val="14"/>
        <color theme="1"/>
        <rFont val="Arial"/>
        <family val="2"/>
      </rPr>
      <t>Exposure calculations</t>
    </r>
    <r>
      <rPr>
        <sz val="14"/>
        <color theme="1"/>
        <rFont val="Arial"/>
        <family val="2"/>
      </rPr>
      <t xml:space="preserve"> (whether to include each hazard)</t>
    </r>
  </si>
  <si>
    <t xml:space="preserve">Based on the answers above, it appears your industry has elements potentially exposed to the following climate hazards: </t>
  </si>
  <si>
    <t>Future Threshold Lower</t>
  </si>
  <si>
    <t>The next activity uses the PARA framework to identify types of responses to climate risks.</t>
  </si>
  <si>
    <t>Thinking about your industry's current exposure and vulnerability, what PARA framework actions have been taken to manage the impacts from climate hazards?</t>
  </si>
  <si>
    <t xml:space="preserve">Has your industry prepared or implemented measures to manage risk associated with </t>
  </si>
  <si>
    <t>Adaptation is the process of adjustment to actual or expected climate and its effects, in order to moderate harm. Within communities, people can work together to reduce the impact of climate hazards, through social networks, nature-based or hard-engineering solutions, upgrades to existing buildings and infrastructure and by being better prepared. These options include the protect, accommodate, retreat, and avoid framework (PARA):</t>
  </si>
  <si>
    <t>-</t>
  </si>
  <si>
    <t>PROTECTING assets from risk, for example by building protective structures such as sea walls</t>
  </si>
  <si>
    <t xml:space="preserve">ACCOMMODATING risk, for example by incorporating adaptation options into the design of developments </t>
  </si>
  <si>
    <t>RETREATING from risk, for example by relocating existing development away from high-risk areas</t>
  </si>
  <si>
    <t xml:space="preserve">AVOIDING risk, for example by locating development away from areas prone to hazards </t>
  </si>
  <si>
    <t>*Image adapted from New Zealand Ministry for the Environment (2022)</t>
  </si>
  <si>
    <t>Yes/No</t>
  </si>
  <si>
    <t>Was it effective at managing the risk?</t>
  </si>
  <si>
    <t>View Results Report</t>
  </si>
  <si>
    <t>Thank you. You have now completed the Rapid Climate Risk Assessment Framework response form. Please click here to be taken to the Results Report:</t>
  </si>
  <si>
    <t>There is no sensitivity or vulnerability to a given hazard</t>
  </si>
  <si>
    <t xml:space="preserve">Please review the below table. It provides an initial vulnerability assessment for each of the elements you've identified against climate hazards. </t>
  </si>
  <si>
    <t>Future Threshold Upper</t>
  </si>
  <si>
    <t>1. Understanding Industry</t>
  </si>
  <si>
    <t>2. Exposure</t>
  </si>
  <si>
    <t>3. Vulnerability</t>
  </si>
  <si>
    <t>Has a PROTECT action been taken? 
E.g. building seawall to protect site, protecting fields from flooding.</t>
  </si>
  <si>
    <t>Has an ACCOMMODATE action been taken? 
E.g. raising buildings to allow flood water underneath.</t>
  </si>
  <si>
    <t>Has a RETREAT action been taken? 
E.g. planting crops in less flood prone fields, moving dive operations to heathier reefs.</t>
  </si>
  <si>
    <t>The identified activities or features above provide a high-level overview of the potential activities or features that may be vulnerable or exposed to climate hazards as assessed in the following sections.</t>
  </si>
  <si>
    <t>that critically rely on natural water supply</t>
  </si>
  <si>
    <t>In addition t</t>
  </si>
  <si>
    <t>T</t>
  </si>
  <si>
    <t>he industry has elements with the following qualities that suggest possible exposure:</t>
  </si>
  <si>
    <t>EXPOSURE</t>
  </si>
  <si>
    <t>PAST HAZARDS</t>
  </si>
  <si>
    <t xml:space="preserve">The user has identified that the industry involves the following activities and/or operations: </t>
  </si>
  <si>
    <t xml:space="preserve">Vulnerability assesses the industry's sensitivity or capacity to adapt to the hazards identified above. </t>
  </si>
  <si>
    <t>VULNERABILITY UPDATES FROM DEFAULTS</t>
  </si>
  <si>
    <t xml:space="preserve">The user defined built feature has not been assessed in the climate risk assessment framework but it is recommended that a similar process is used to understand the possible exposure and vulnerability this element may have.  </t>
  </si>
  <si>
    <t>SUM</t>
  </si>
  <si>
    <t xml:space="preserve">The default preliminary vulnerability scores have been updated by the user for the following hazards and elements: </t>
  </si>
  <si>
    <t>Please provide commentary to explain any score updates here:</t>
  </si>
  <si>
    <t>Default shift between present and 2050 exposure</t>
  </si>
  <si>
    <t>Default shift between 2050 and 2100 exposure</t>
  </si>
  <si>
    <t>Adjusted 2050 exposure (in numbers)</t>
  </si>
  <si>
    <t>Adjusted 2100 exposure (in numbers)</t>
  </si>
  <si>
    <t xml:space="preserve">The user has justified score updates by stating the following: </t>
  </si>
  <si>
    <t xml:space="preserve">Risk is a product of hazard exposure and vulnerability. Using the assessments completed above, risk ratings have been created for the elements and hazards relevant to the industry. </t>
  </si>
  <si>
    <t>For further breakdown of these results, and specific risk statements for elements and hazards, please see the detailed tables at the end of this report.</t>
  </si>
  <si>
    <t xml:space="preserve">Appendix 1: Further assessment details </t>
  </si>
  <si>
    <t>Given the risks identified for the industry, it is worth considering whether:</t>
  </si>
  <si>
    <t>Exposure to the climate risk could be avoided or minimized through altering how the industry functions</t>
  </si>
  <si>
    <t>The impact or consequences of exposure to future climate events could be minimized or reduced (i.e. continuity plan/emergency response plan, education awareness material, monitoring and alerts)</t>
  </si>
  <si>
    <t>There are any opportunities to adapt to the increased risk through changes to infrastructure and other industry functions</t>
  </si>
  <si>
    <t>MEASURES</t>
  </si>
  <si>
    <t xml:space="preserve">The user has identified that the industry has prepared or implemented measures to manage risks associated with </t>
  </si>
  <si>
    <t xml:space="preserve">The user has identified that a PROTECT action has been taken. </t>
  </si>
  <si>
    <t xml:space="preserve">This is explained as: </t>
  </si>
  <si>
    <t>This management approach has not been tested in an event</t>
  </si>
  <si>
    <t>Partially</t>
  </si>
  <si>
    <t>Does your industry use formal warning systems to forecast climate hazard events? 
(e.g. VMGD forcasting)</t>
  </si>
  <si>
    <t>Does your industry use traditional indicators to notify of upcoming potential issues? 
(e.g. traditional observation of bird activity to warn of pending cyclone)</t>
  </si>
  <si>
    <t>Does your industry use the Van KIRAP Climate Futures portal?</t>
  </si>
  <si>
    <t xml:space="preserve"> The default vulnerability considers how sensitive the element typically is to the climate hazard and how able it is to adapt to the changing climate.</t>
  </si>
  <si>
    <t xml:space="preserve">The user has identified that an ACCOMMODATE action has been taken. </t>
  </si>
  <si>
    <t>This management approach has not been tested in an event.</t>
  </si>
  <si>
    <t xml:space="preserve"> was not effective at managing the risk.</t>
  </si>
  <si>
    <t xml:space="preserve"> was partially effective at managing the risk. </t>
  </si>
  <si>
    <t>This management approach has been tested in an event and</t>
  </si>
  <si>
    <t xml:space="preserve">The user has identified that a RETREAT action has been taken. </t>
  </si>
  <si>
    <t xml:space="preserve">The user has identified that an AVOID action has been taken. </t>
  </si>
  <si>
    <t xml:space="preserve"> was effective at managing the risk.</t>
  </si>
  <si>
    <t xml:space="preserve">This management approach has been tested in an event and </t>
  </si>
  <si>
    <t>was effective at managing the risk.</t>
  </si>
  <si>
    <t>was not effective at managing the risk.</t>
  </si>
  <si>
    <t xml:space="preserve">was partially effective at managing the risk. </t>
  </si>
  <si>
    <t>The user has not identified any measures (either prepared or implemented) that manage the risks associated with climate hazards it is exposed to.</t>
  </si>
  <si>
    <t>The user has not identified any PROTECT actions that have been taken.</t>
  </si>
  <si>
    <t>The user has not identified any ACCOMMODATE actions that have been taken.</t>
  </si>
  <si>
    <t>The user has not identified any RETREAT actions that have been taken.</t>
  </si>
  <si>
    <t>The user has not identified any AVOID actions that have been taken.</t>
  </si>
  <si>
    <t>formal warning systems to forecast climate hazard events</t>
  </si>
  <si>
    <t>traditional indicators to notify of upcoming potential issues</t>
  </si>
  <si>
    <t>the Van KIRAP Climate Futures portal</t>
  </si>
  <si>
    <t xml:space="preserve">The user has stated that the industry uses </t>
  </si>
  <si>
    <t xml:space="preserve">The user has stated that the industry does not use formal warning systems to forecast climate hazard events, traditional indicators to notify of upcoming potential issues or the Van KIRAP Climate Futures portal. </t>
  </si>
  <si>
    <t>End of Report</t>
  </si>
  <si>
    <t>Top elements at risk</t>
  </si>
  <si>
    <t>Top 2nd Hazards Sentence</t>
  </si>
  <si>
    <t>Top 1st Hazards Sentence</t>
  </si>
  <si>
    <t>Top 3rd Hazards Sentence</t>
  </si>
  <si>
    <t>Top 1st Elements Sentence</t>
  </si>
  <si>
    <t>Top 2nd Elements Sentence</t>
  </si>
  <si>
    <t>Top 3rd Elements Sentence</t>
  </si>
  <si>
    <t>Top 4th Elements Sentence</t>
  </si>
  <si>
    <t>Top 5th Elements Sentence</t>
  </si>
  <si>
    <t xml:space="preserve">Climate Driver </t>
  </si>
  <si>
    <t>Climate Projection</t>
  </si>
  <si>
    <t>Climate Variability</t>
  </si>
  <si>
    <t xml:space="preserve">A projection of the response of the climate system to emission or concentration scenarios of greenhouse gases and aerosols, or radiative forcing scenarios, often based upon simulations by climate models under different climate scenarios. </t>
  </si>
  <si>
    <t>Initiatives and measures to reduce the vulnerability of natural and human systems against actual or expected climate change effects. Various types of adaptation exist, e.g. anticipatory and reactive, private and public, and autonomous and planned.</t>
  </si>
  <si>
    <t xml:space="preserve">Climate variability refers to variations in the mean state and other statistics (such as standard deviations, the occurrence of extremes, etc.) of the climate on all spatial and temporal scales beyond that of individual weather events. </t>
  </si>
  <si>
    <t>El Niño Southern Oscillation (ENSO)</t>
  </si>
  <si>
    <t xml:space="preserve">Immediate high/extreme risks to </t>
  </si>
  <si>
    <t xml:space="preserve">Immediate high/extreme risks from </t>
  </si>
  <si>
    <t xml:space="preserve"> to </t>
  </si>
  <si>
    <t>Top climate hazards</t>
  </si>
  <si>
    <t>Overall Present Risk Score</t>
  </si>
  <si>
    <t>Associated elements:</t>
  </si>
  <si>
    <t>Associated hazards:</t>
  </si>
  <si>
    <t xml:space="preserve"> from </t>
  </si>
  <si>
    <t xml:space="preserve">ENSO is a periodic bimodal variation in the sea surface temperature and air pressure across the equatorial Pacific Ocean.
El Niño: Easterly trade winds over the Pacific Ocean weaken, slowing the ocean current drawing surface water away from the Western coast of South America, reducing the upwelling rate of colder deep ocean water on this coast and flattening the thermocline allowing the surface water on the east of the Pacific basin to warm. 
La Niña: Easterly trade winds over the Pacific strengthen, increasing the ocean current drawing surface water away from the Western coast of South America, increased the upwelling rate of nutrient-rich cold deep ocean water on this coast and increasing the thermocline, reducing the surface water temperature on the east of the Pacific basin. 
ENSO is strongly correlated with multiple tele-connections globally, causing effect to temperature, atmospheric pressure and precipitation. </t>
  </si>
  <si>
    <t>Sea level can change, both globally and locally, due to; (1) changes in the shape of the ocean basins; (2) changes in the total mass of water and, (3) changes in water density. Factors leading to sea level rise under climate change include both increases in the total mass of water from the melting of land-based snow and ice, and changes in water density from an increase in ocean water temperatures and salinity changes.</t>
  </si>
  <si>
    <t>The phenomenon of temporary sea level rising that is commonly associated with low-pressure weather systems (cyclones), excluding waves.</t>
  </si>
  <si>
    <t>e.g. building a seawall</t>
  </si>
  <si>
    <t>e.g. protecting fields from flooding</t>
  </si>
  <si>
    <t>e.g. Evacuation planning</t>
  </si>
  <si>
    <t>e.g. MHW event forecasting</t>
  </si>
  <si>
    <t>e.g. drought-resistant crop varieties</t>
  </si>
  <si>
    <t>e.g. sustainable fisheries management</t>
  </si>
  <si>
    <t>e.g. Providing cool, well-ventilated areas in workplaces</t>
  </si>
  <si>
    <t xml:space="preserve">? </t>
  </si>
  <si>
    <t>Outdoor marine activities refers to operations taking place within the marine environment, for example fishing, scuba diving, education and training.</t>
  </si>
  <si>
    <t xml:space="preserve">Driving activities refers to any land transport operations, for example transport of goods or taxi services. </t>
  </si>
  <si>
    <t xml:space="preserve">Boating activities refers to any marine transport operations, for example boat tours, water taxi services and fishing. </t>
  </si>
  <si>
    <t>The supply of critical physical goods/services the operation requires to operate. Those which are susceptible to a range of climate-related impacts, including extreme weather events, resource scarcity such that potential disruptions would prevent the operation. For example, a restaurant relies on food supply, a construction company relies on materials.</t>
  </si>
  <si>
    <t xml:space="preserve">The risk of extreme rainfall is due to a combination of factors, including tropical cyclones, interannual rainfall variability (wet season from November – April), and the El Niño Southern Oscillation. 
The total amount of rainfall can be used as an additional indicator of extreme rainfall. </t>
  </si>
  <si>
    <t xml:space="preserve">Tropical cyclones are rotating storms that develop over tropical oceans that are over 25.5 °C and within 5 degrees of latitude from the equator where there is sufficient Coriolis force to create the rotation. In the South Pacific Ocean, a tropical cyclone is defined by a 10-minute sustained wind speed of 17.5 metres-per-second or greater. </t>
  </si>
  <si>
    <t>What is the objective of completing this assessment?</t>
  </si>
  <si>
    <t>Does your industry have / use elements located within 100m of the coastline?</t>
  </si>
  <si>
    <t>Does your industry have / use elements located at less than 10m elevation above the sea level?</t>
  </si>
  <si>
    <t>Does your industry have / use elements that are located near a river, stream, or lake that has a history of flooding?</t>
  </si>
  <si>
    <t>Does your industry have / use elements that critically rely on a natural water supply from a river, groundwater or rain-harvesting? (i.e. rainfall on crops, water intake at stream for drinking water)</t>
  </si>
  <si>
    <t xml:space="preserve"> Please review your answers above if this does not reflect your understanding. </t>
  </si>
  <si>
    <t>The user has not provided an objective for completing the Rapid Climate Risk Assessment.</t>
  </si>
  <si>
    <t>The user has not identified any reliance on natural or built features by the industry.</t>
  </si>
  <si>
    <t xml:space="preserve">The following climate hazard events are events that are relevant to the industry and have been observed in the past: </t>
  </si>
  <si>
    <t>The user has not observed any climate events that are relevant to the industry that have been observed in the past.</t>
  </si>
  <si>
    <t>located within 100m of the coastline</t>
  </si>
  <si>
    <t>located at less than 10m elevation above the sea level</t>
  </si>
  <si>
    <t>located near a river, stream, or lake that has a history of flooding</t>
  </si>
  <si>
    <t xml:space="preserve">Based on the above, the Rapid Climate Risk Assessment Framework assesses the industry has exposure to the following hazards: </t>
  </si>
  <si>
    <t>The below table identifies overall the top climate hazard risks (up to top 3) for the industry and shows their risk rating both now and in the future (combining the average of a 2050 and 2100 rating). It identifies which elements are at high or extreme risk from this climate hazard. These overall ratings are calculated using a weighted average of the risk ratings for all elements at risk from each climate hazard.</t>
  </si>
  <si>
    <t>The below table identifies overall the top elements (up to top 5) at overall risk for the industry, providing information for the high or extreme climate hazards that are contributing to these risks. These overall ratings are calculated through a weighted average of risk ratings from all climate hazards for each element of the industry.</t>
  </si>
  <si>
    <t>A more in-depth assessment could be beneficial to define the potential climate risks to the industry</t>
  </si>
  <si>
    <t xml:space="preserve">Adaptation is the process of adjustment to actual or expected climate hazards and their effects, in order to moderate risk. The protect, accommodate, retreat and avoid (PARA) framework has been introduced as a way to identify options to adapt. </t>
  </si>
  <si>
    <t xml:space="preserve">These can be key tools to improve industry preparedness to climate hazards. For further information on these resources please see the below links. </t>
  </si>
  <si>
    <r>
      <rPr>
        <sz val="14"/>
        <rFont val="Arial"/>
        <family val="2"/>
      </rPr>
      <t xml:space="preserve">Van KIRAP Climate Futures Portal </t>
    </r>
    <r>
      <rPr>
        <u/>
        <sz val="14"/>
        <color theme="10"/>
        <rFont val="Arial"/>
        <family val="2"/>
      </rPr>
      <t xml:space="preserve">
Access Here
</t>
    </r>
    <r>
      <rPr>
        <sz val="14"/>
        <rFont val="Arial"/>
        <family val="2"/>
      </rPr>
      <t>Username: test
Password: vanKirap123</t>
    </r>
  </si>
  <si>
    <r>
      <rPr>
        <sz val="14"/>
        <rFont val="Arial"/>
        <family val="2"/>
      </rPr>
      <t xml:space="preserve">Formal warning systems 
Vanuatu Meterology &amp; Geo-Hazards Department
</t>
    </r>
    <r>
      <rPr>
        <u/>
        <sz val="14"/>
        <color theme="10"/>
        <rFont val="Arial"/>
        <family val="2"/>
      </rPr>
      <t>Access Here</t>
    </r>
  </si>
  <si>
    <t>Term</t>
  </si>
  <si>
    <r>
      <rPr>
        <sz val="14"/>
        <rFont val="Arial"/>
        <family val="2"/>
      </rPr>
      <t>Traditional indicators
National Advisory Board
on Climate Change &amp; Disaster Risk Reduction
Government of Vanuatu</t>
    </r>
    <r>
      <rPr>
        <u/>
        <sz val="14"/>
        <color theme="10"/>
        <rFont val="Arial"/>
        <family val="2"/>
      </rPr>
      <t xml:space="preserve">
Access Here</t>
    </r>
  </si>
  <si>
    <t>Formal warning systems: Vanuatu Meteorology &amp; Geo-Hazards Department</t>
  </si>
  <si>
    <t>Traditional indicators: National Advisory Board on Climate Change &amp; Disaster Risk Reduction, Government of Vanuatu</t>
  </si>
  <si>
    <t>Access here</t>
  </si>
  <si>
    <t>Van KIRAP Climate Futures Portal
Username: test
Password: vanKirap123</t>
  </si>
  <si>
    <t xml:space="preserve">Water Transportation Activities </t>
  </si>
  <si>
    <t xml:space="preserve">Goods Supply Activities </t>
  </si>
  <si>
    <t>Vanuatu Meteorology &amp; Geo-Hazards Department: Formal Warning Systems</t>
  </si>
  <si>
    <t>National Advisory Board on Climate Change &amp; Disaster Risk Reduction</t>
  </si>
  <si>
    <t>Van KIRAP Climate Futures Portal
User: test
Password: vanKirap123</t>
  </si>
  <si>
    <t>The following provides definitions for 'vulnerability' ratings that are used in the next exercise.</t>
  </si>
  <si>
    <t>Overall Future Risk 
(2050 &amp; 2100)</t>
  </si>
  <si>
    <t>Overall Future Risk (2050 &amp; 2100)</t>
  </si>
  <si>
    <t>Climate Hazard</t>
  </si>
  <si>
    <t>The below table presents the overall risk rating for each element that is relevant to the industry. The overall risk ratings are calculated using a weighted average of all the risk ratings from each hazard for that element. The table is ordered based on severity and immediacy of elements' risk rating.</t>
  </si>
  <si>
    <t>The below table presents the overall risk rating for each climate hazard that the industry is exposed to. The overall risk ratings are calculated using a weighted average of the risk ratings for all elements at risk from each climate hazard. The table is ordered based on severity and immediacy of the risks caused by that hazard.</t>
  </si>
  <si>
    <t xml:space="preserve">The following tables provide further detail that have informed the report findings. Risk ratings are identified over the three exposure timeframes (present day, 2500 and 2100) using the RCP8.5 baseline high emission scenario. </t>
  </si>
  <si>
    <t xml:space="preserve">The assessment framework has calculated the following individual risks for the industry. These are presented in order of highest risk from present to 2100. Where statements have the same risk rating there is no distinction in the ordering of statements. </t>
  </si>
  <si>
    <t>Extreme Temperature</t>
  </si>
  <si>
    <t>Temperature has a spatial and bimodal variation within Vanuatu as it is influenced by the seasons, ENSO and atmospheric pressure. Extreme temperature from VanKIRAP measures the annual hottest day, annual coldest night, annual hottest night and 1-in-20year extreme maximum daily temperature (95th percentile)</t>
  </si>
  <si>
    <t>Risk Rating - Present</t>
  </si>
  <si>
    <t>Risk Rating - 2050</t>
  </si>
  <si>
    <t>Risk Rating - 2100</t>
  </si>
  <si>
    <t>Risk Rating - Future</t>
  </si>
  <si>
    <t>Average Risk Score - Present</t>
  </si>
  <si>
    <t>Average Risk Score - Future</t>
  </si>
  <si>
    <t>Average Risk Score - 2050</t>
  </si>
  <si>
    <t>Average Risk Score - 2100</t>
  </si>
  <si>
    <t>Exposure Rating - Present</t>
  </si>
  <si>
    <t>Exposure Rating - 2050</t>
  </si>
  <si>
    <t>Exposure Rating - 2100</t>
  </si>
  <si>
    <t>VEMatrix gives risk rating based on vulnerability and exposure</t>
  </si>
  <si>
    <t>If yes, please add details on the areas relevant to your industry:</t>
  </si>
  <si>
    <t>If yes, please explain and add specific comments about the risk management</t>
  </si>
  <si>
    <t xml:space="preserve">Evacuation structures refers to elevated structures with sufficient height to elevate evacuees above inundation due to tsunami waves, and cyclone shelters. Legislation in Vanuatu regarding Natural Disasters determines the logistic hubs during a disaster of Port Vila and Luganville. </t>
  </si>
  <si>
    <t>V - Extreme Temperature</t>
  </si>
  <si>
    <t>For further information on these topics please see the below links:</t>
  </si>
  <si>
    <t>Land Transportation Activities</t>
  </si>
  <si>
    <t xml:space="preserve">Land Transport Activities </t>
  </si>
  <si>
    <t>Traditional Knowledge</t>
  </si>
  <si>
    <t xml:space="preserve">Direct Risk </t>
  </si>
  <si>
    <t>Sea Level Change/Rise</t>
  </si>
  <si>
    <t>Sea-Surface Temperature</t>
  </si>
  <si>
    <t>Storm Surge</t>
  </si>
  <si>
    <t>V - Marine Heat Waves</t>
  </si>
  <si>
    <t>EP - Marine Heat Waves</t>
  </si>
  <si>
    <t>EP - Extreme Temperature</t>
  </si>
  <si>
    <t>E2050 - Marine Heat Waves</t>
  </si>
  <si>
    <t>E2050 - Extreme Temperature</t>
  </si>
  <si>
    <t>E2100 - Marine Heat Waves</t>
  </si>
  <si>
    <t>E2100 - Extreme Temperature</t>
  </si>
  <si>
    <t>Marine Heat Waves</t>
  </si>
  <si>
    <t>Glossary of terms</t>
  </si>
  <si>
    <t>Select 'Yes' to all that are relevant</t>
  </si>
  <si>
    <t>Using the definition of exposure levels above, please fill out present exposure scores in the below table for your industry.</t>
  </si>
  <si>
    <t>Has an AVOID action been taken? 
E.g. Restricting construction of new structures within 100m of coast of flood prone areas.</t>
  </si>
  <si>
    <t>You have indicated that your industry experiences disruption and/or damage from climate hazards. The following questions are to understand if you are aware of the weather and climate forcasting resources and information products available to help manage the risks.</t>
  </si>
  <si>
    <t xml:space="preserve"> These impacted the industry in the following ways: </t>
  </si>
  <si>
    <t>The Framework asks the user to input a baseline score for the PRESENT exposure for each of the climate hazards based on their industry knowledge. If a score is blank, the framework will use default exposure score ratings based on Van-KIRAP data. The user’s baseline scores are then adjusted using RCP8.5 to estimate likely exposure at 2050 and 2100. The default exposure takes into account the elements' general proximity to the climate hazard and the expected frequency and intensity over time.</t>
  </si>
  <si>
    <t xml:space="preserve"> </t>
  </si>
  <si>
    <t xml:space="preserve">There are no immediate (present) high/extreme risks to elements from  </t>
  </si>
  <si>
    <t xml:space="preserve">There are no immediate (present) high/extreme risks from climate hazards to </t>
  </si>
  <si>
    <t>Exposure is the degree to which an industry is affected by climate hazards. Exposure depends on how much of the industry's features, such as land, assets, population, and systems, are located in areas that are exposed to these hazards.
One way to measure exposure is to compare the location and characteristics of the industry's features with the spatial and temporal distribution of the climate hazards. For example, if an industry has a lot of infrastructure near the coast it would have a high exposure to coastal inundation, especially if the infrastructure is low-lying and close to the shoreline (within 100m and less than 10m elevation). On the other hand, if an industry has most of its infrastructure inland and at higher elevations, it would have a low exposure to coastal inundation.
The following table provides definitions for 'exposure' ratings that are used in the next exercise.</t>
  </si>
  <si>
    <t>Airports/Airfields</t>
  </si>
  <si>
    <t>Ports refer to harbour areas in which ships and boats load and unload goods and passengers. Wharves are used to dock yachts and small boats. 
Vanuatu has two major ports, Port of Vila in the capital Vila on Efate island, and Port of Luganville in Santo.  There are numerous wharves located across Vanuatu.</t>
  </si>
  <si>
    <t xml:space="preserve">Transportation Assets </t>
  </si>
  <si>
    <t>Transportation assets refers to the assets and infrastructure associated with transport, including private vehicles, public transport vehicles and infrastructure, roads, bridges, cycle and foot paths.</t>
  </si>
  <si>
    <t>Uninhabited buildings refers to all buildings in which are not normally occupied and may store assets or materials relating to the industry and its operations. For example, boat sheds, warehouses and barns.</t>
  </si>
  <si>
    <t>Vulnerability, in the context of a climate risk assessment, is made up of sensitivity and adaptive capacity. Assessing vulnerability of the industry to climate hazards involves a qualitative evaluation of how susceptible the exposed assets and operations are to climate risks. Consider factors like sensitivity (how easily they can be affected) and adaptive capacity (how well they can cope).
Example – Adaptive Capacity: If there are early warning systems in place and/ or the infrastructure has been designed with coastal inundation resilience in mind then this has increased its adaptive capacity and lowered its vulnerability. 
Example – Sensitivity: If the infrastructure relies on ground water or has aging piped infrastructure then it would also be sensitive to rises in the groundwater table that is associated with coastal inundation. Making the infrastructure more vulnerable to the coastal inundation exposure.   
Applying this to a farming situation a high vulnerability scenario might be a cacao farm that relies on a particular freshwater irrigation source (low adaptive capacity), with cacao trees that can't cope easily with long periods of water stress (high sensitivity) whereas a low vulnerability scenario might be a yam farm that is not affected easily by drought as requires less irrigation (high adaptive capacity) since yams can better tolerate drought (low sensitivity).</t>
  </si>
  <si>
    <t>PARA Framework</t>
  </si>
  <si>
    <t>Refers to the Protect, Avoid, Retreat and Avoid framework for adaptation measures. This includes:
- Protecting assets from risk (e.g. Building protective structure)
- Accommodating risk (e.g. Incorporating adaptation options into development designs)
- Retreating from risk (e.g. relocating existing development away from high risk areas)
- Avoiding risk (e.g. locating new development away from areas prone to hazards)</t>
  </si>
  <si>
    <t>Does your industry have / use elements that can be impacted by (or rely on) ocean conditions? (i.e. Ocean acidification and marine heatwaves affecting reefs and fish stock)</t>
  </si>
  <si>
    <t xml:space="preserve">Do high temperatures significantly impact the effectiveness or safety of work activities, ecosystems, agircultural productivity or sites / assets in your industry? </t>
  </si>
  <si>
    <t>impacted by (or reliant on) ocean conditions</t>
  </si>
  <si>
    <t>High temperature have been assessed by the user as a feature that can significantly impact the effectivess or safety of work activities, ecosystems, agricultural productivity or industry sites/assets.</t>
  </si>
  <si>
    <t>2. Climate Hazard Exposure</t>
  </si>
  <si>
    <t>4. Risk Assessment</t>
  </si>
  <si>
    <t>The vulnerability assessment has used default preliminary vulnerability scores</t>
  </si>
  <si>
    <t>. The default vulnerability considers how sensitive the element typically is to the climate hazard and how able it is to adapt to the changing climate.</t>
  </si>
  <si>
    <t xml:space="preserve"> but haven't provide any updated scoring so the default preliminary vulnerability scores have been used</t>
  </si>
  <si>
    <t>v1</t>
  </si>
  <si>
    <t>In preparing this report Beca has relied on key information and insight provided by the Client and information readily available in the public domain including the Van KIRAP Portal project.</t>
  </si>
  <si>
    <t xml:space="preserve">© Beca 2023 (unless Beca has expressly agreed otherwise with the Client in writing). 
This report has been prepared by Beca on the specific instructions of our Client. It is solely for our Client's use for the purpose for which it is intended in accordance with the agreed scope of work. Any use or reliance by any person contrary to the above, to which Beca has not given its prior written consent, is at that person's own risk. </t>
  </si>
  <si>
    <r>
      <rPr>
        <b/>
        <sz val="14"/>
        <rFont val="Arial"/>
        <family val="2"/>
      </rPr>
      <t>Drought</t>
    </r>
    <r>
      <rPr>
        <sz val="14"/>
        <rFont val="Arial"/>
        <family val="2"/>
      </rPr>
      <t xml:space="preserve">
</t>
    </r>
    <r>
      <rPr>
        <sz val="12"/>
        <rFont val="Arial"/>
        <family val="2"/>
      </rPr>
      <t>(see Van-KIRAP explainer here)</t>
    </r>
  </si>
  <si>
    <r>
      <rPr>
        <b/>
        <sz val="14"/>
        <rFont val="Arial"/>
        <family val="2"/>
      </rPr>
      <t xml:space="preserve">Coastal inundation </t>
    </r>
    <r>
      <rPr>
        <u/>
        <sz val="14"/>
        <rFont val="Arial"/>
        <family val="2"/>
      </rPr>
      <t xml:space="preserve">
</t>
    </r>
    <r>
      <rPr>
        <sz val="12"/>
        <rFont val="Arial"/>
        <family val="2"/>
      </rPr>
      <t>(see Van-KIRAP explainer here)</t>
    </r>
  </si>
  <si>
    <r>
      <rPr>
        <b/>
        <sz val="14"/>
        <rFont val="Arial"/>
        <family val="2"/>
      </rPr>
      <t>Extreme rainfall</t>
    </r>
    <r>
      <rPr>
        <sz val="14"/>
        <rFont val="Arial"/>
        <family val="2"/>
      </rPr>
      <t xml:space="preserve">
</t>
    </r>
    <r>
      <rPr>
        <sz val="12"/>
        <rFont val="Arial"/>
        <family val="2"/>
      </rPr>
      <t>(see Van-KIRAP explainer here)</t>
    </r>
  </si>
  <si>
    <r>
      <rPr>
        <b/>
        <sz val="14"/>
        <rFont val="Arial"/>
        <family val="2"/>
      </rPr>
      <t>Tropical Cyclone</t>
    </r>
    <r>
      <rPr>
        <sz val="14"/>
        <rFont val="Arial"/>
        <family val="2"/>
      </rPr>
      <t xml:space="preserve">
</t>
    </r>
    <r>
      <rPr>
        <sz val="12"/>
        <rFont val="Arial"/>
        <family val="2"/>
      </rPr>
      <t>(see Van-KIRAP explainer here)</t>
    </r>
  </si>
  <si>
    <r>
      <rPr>
        <b/>
        <sz val="14"/>
        <rFont val="Arial"/>
        <family val="2"/>
      </rPr>
      <t>Ocean Acidification</t>
    </r>
    <r>
      <rPr>
        <sz val="14"/>
        <rFont val="Arial"/>
        <family val="2"/>
      </rPr>
      <t xml:space="preserve">
</t>
    </r>
    <r>
      <rPr>
        <sz val="12"/>
        <rFont val="Arial"/>
        <family val="2"/>
      </rPr>
      <t>(see Van-KIRAP explainer here)</t>
    </r>
  </si>
  <si>
    <r>
      <rPr>
        <b/>
        <sz val="14"/>
        <rFont val="Arial"/>
        <family val="2"/>
      </rPr>
      <t>Marine Heatwaves</t>
    </r>
    <r>
      <rPr>
        <sz val="14"/>
        <rFont val="Arial"/>
        <family val="2"/>
      </rPr>
      <t xml:space="preserve">
</t>
    </r>
    <r>
      <rPr>
        <sz val="12"/>
        <rFont val="Arial"/>
        <family val="2"/>
      </rPr>
      <t>(see Van-KIRAP explainer here)</t>
    </r>
  </si>
  <si>
    <r>
      <rPr>
        <b/>
        <sz val="14"/>
        <rFont val="Arial"/>
        <family val="2"/>
      </rPr>
      <t>Extreme Temperature (hottest day of the year)</t>
    </r>
    <r>
      <rPr>
        <sz val="14"/>
        <rFont val="Arial"/>
        <family val="2"/>
      </rPr>
      <t xml:space="preserve">
</t>
    </r>
    <r>
      <rPr>
        <sz val="12"/>
        <rFont val="Arial"/>
        <family val="2"/>
      </rPr>
      <t xml:space="preserve">(see Van-KIRAP technical report here) </t>
    </r>
  </si>
  <si>
    <t xml:space="preserve">Terrestrial ecosystems are ecosystems found on land, including temperate deciduous forest, tropical rain forest, and grassland. Vanuatu's tropical and subtropical rainforests are home to a wide range of flora and fauna and are susceptible to changes in temperature and rainfall. </t>
  </si>
  <si>
    <t>Freshwater ecosystems are a subset of aquatic ecosystems and refer to water from rivers, lakes, and underground streams. Freshwater is used by a wide variety of plants and animals, and are often used for recreation. Vanuatu is home to a number of freshwater springs, known as the blue holes, that attract both locals and tourists. Such freshwater sources are susceptible to many climate hazards including extreme rainfall, tropical cyclones and drought.</t>
  </si>
  <si>
    <t>Section 5</t>
  </si>
  <si>
    <t>5.1a</t>
  </si>
  <si>
    <t>5.1b</t>
  </si>
  <si>
    <t>5.1c</t>
  </si>
  <si>
    <t>5.1d</t>
  </si>
  <si>
    <t>5.1e</t>
  </si>
  <si>
    <t>5.1f</t>
  </si>
  <si>
    <t>5.1g</t>
  </si>
  <si>
    <t>Section 7</t>
  </si>
  <si>
    <t>5. Understanding Existing Climate Risk Management</t>
  </si>
  <si>
    <t>6. Adaptation</t>
  </si>
  <si>
    <r>
      <t xml:space="preserve">Contents
</t>
    </r>
    <r>
      <rPr>
        <sz val="14"/>
        <color theme="1"/>
        <rFont val="Arial"/>
        <family val="2"/>
      </rPr>
      <t xml:space="preserve">This Tool has six steps where inputs are required. By following these steps and providing the required information, the Framework will produce a high-level summary of climate risks. </t>
    </r>
  </si>
  <si>
    <t>We suggest this page is used for copying relevant materials for your assessment.</t>
  </si>
  <si>
    <t>For example, you may like to include screengrabs, photographs of specific hazard events or assets, relevant websites or news articles, or other notes for your assessment</t>
  </si>
  <si>
    <t>1. Understanding Industry: interactions and activities</t>
  </si>
  <si>
    <t>7. Hazard Forecasting Awareness</t>
  </si>
  <si>
    <t>7. Hazard forecasting awareness</t>
  </si>
  <si>
    <t>Consider using the Van KIRAP Climate Futures Portal
User: test
Password: vanKirap123</t>
  </si>
  <si>
    <t>ID</t>
  </si>
  <si>
    <t>FINAL</t>
  </si>
  <si>
    <t>EXPOSURE COMBOS</t>
  </si>
  <si>
    <t>INITIAL (Defaults)</t>
  </si>
  <si>
    <t>Rating</t>
  </si>
  <si>
    <t>Number</t>
  </si>
  <si>
    <t>The framework results presented in this report should be considered in conjunction with other non-climate factors to inform decision making. 
This report has been designed to be able to be exported as a pdf. Please click on 'file' then 'export' and save it under a file name specific to your industry.</t>
  </si>
  <si>
    <t>Changes incorporated from testing.</t>
  </si>
  <si>
    <t>Overall Structure of RCRAF</t>
  </si>
  <si>
    <t>v1.1</t>
  </si>
  <si>
    <t>Rapid Climate Risk Assessment Framework (RCRAF) - Question Response Form</t>
  </si>
  <si>
    <t>Rapid Climate Risk Assessment Framework  (RCRAF) - Results Report</t>
  </si>
  <si>
    <t>The contents of this report are based on Beca’s understanding and interpretation of current international protocols and standards at the time of production (December 2023). Unless otherwise agreed, this report will not be updated to take account of subsequent changes to any standards and protocols.</t>
  </si>
  <si>
    <t xml:space="preserve">As set out in the equation to the right, climate risk is a result of hazard, exposure and vulnerability. The climate hazards being assessed through this framework are coastal inundation, extreme rainfall, tropical cyclone, drought, marine heat waves, ocean acidification and extreme temperature. This section assesses the exposure to these hazards. </t>
  </si>
  <si>
    <t>You have indicated that your industry experiences disruption and/or damage from climate hazards. The following questions are to help understand how these are currently being managed within your industry. Tropical cyclones are included by default because of their widespread impacts.</t>
  </si>
  <si>
    <t xml:space="preserve">This Tool is for internal use only. It has been developed specifically for the Government of Vanuatu Department of Tourism. Please contact Beca if others want to understand the Rapid Climate Risk Assessment Framework purpose/process. </t>
  </si>
  <si>
    <t xml:space="preserve">This Tool has been prepared by Beca International Consultants Ltd (Beca) under the Contract for a Rapid Climate Risk Assessment Framework, Methodology and Case Study for Tourism sector and associated infrastructure and fisheries sectors in Vanuatu, dated 22 September 2023 (Agreement) between Beca and the Secretariat of the Pacific Regional Environment Programme (Client). Beca has been requested by the Client to provide a Rapid Climate Risk Assessment Framework. </t>
  </si>
  <si>
    <t xml:space="preserve">The Rapid Climate Risk Assessment Framework (RCRAF) is designed to enable users from the infrastructure, water, fisheries, tourism and agriculture sectors in Vanuatu to identify and highlight key climate risks to inform decision making for adaptation and future development. </t>
  </si>
  <si>
    <t xml:space="preserve">The end user is understood to have a working knowledge of their specific industry such that they can complete the rapid risk assessment. It is also anticipated that the end user are connected to the key operators on the ground as well as to stakeholders in government licencing and regulation. This approach encourages use of the Tool without needing to cater to the entire range of abilities when it comes to climate risk and digital competency. Furthermore, the user is encouraged to use the VanKIRAP Portal to observe the distribution of climate hazards and consider how they may affect their industry. </t>
  </si>
  <si>
    <t xml:space="preserve">Construction activities refers to operations associated with the construction of assets or infrastructure, for example constructing buildings, infrastructure such as ports and bridges, roadworks. Construction activities can be disrupted due to climate events, causing delays in projects. </t>
  </si>
  <si>
    <t xml:space="preserve">Electricity refers to all assets and infrastructure associated with the generation, transmission and distribution of electricity to end-use customers. For example, power plants, transmission lines and electricity meters. </t>
  </si>
  <si>
    <t xml:space="preserve">People, values, species, sectors, assets etc. that are potentially vulnerable to climate change impacts. </t>
  </si>
  <si>
    <t>A reduction in the pH of the ocean, caused by an increased uptake of carbon dioxide (CO2) from the atmosphere, accompanied by other chemical changes (primarily in the levels of carbonate and bicarbonate ions) over the time scale of years to decades.</t>
  </si>
  <si>
    <t xml:space="preserve">Coastal ecosystems exist in the land close to the sea or the part of the marine environment that is strongly influenced by land-based processes, for example salt marshes and estuaries. 
Marine ecosystems are aquatic environments with high levels of salt (i.e. Pacific Ocean). Vanuatu has many marine ecosystems, including coral reefs, mangroves, seagrass areas, seamounts and deepsea trenches. These ecosystems support over 770 fish species, whales, dolphins and sea turtles and are susceptible to a range of climate hazards. </t>
  </si>
  <si>
    <r>
      <t xml:space="preserve">First, answer the questions in the "Response Form" tab. As you go through, questions will appear based on previous answers.
Once the "Response Form" tab is completed, the Tool will determine the level of risk for your industry's features (Element Vulnerability + Hazard Exposure = Risk) as extreme, high, moderate, or low. 
The "View Results Report" tab contains the results of the assessment. This includes an overall risk and prioritisation of different hazards and/or elements based on the users inputs. The ranking reflects the severity and urgency of the threat in present day, in 2050 and 2100. Based on this ranking, the top (up to) 5 elements and top (up to) 3 hazards are identified. 
Please refer to the accompanying </t>
    </r>
    <r>
      <rPr>
        <b/>
        <sz val="14"/>
        <color theme="1"/>
        <rFont val="Arial"/>
        <family val="2"/>
      </rPr>
      <t>RCR Framework and Methodology Report</t>
    </r>
    <r>
      <rPr>
        <sz val="14"/>
        <color theme="1"/>
        <rFont val="Arial"/>
        <family val="2"/>
      </rPr>
      <t xml:space="preserve"> for further details about this Tool, project background and development.</t>
    </r>
  </si>
  <si>
    <t>Rapid Climate Risk Assessment Framework (RCRAF) - User Notes</t>
  </si>
  <si>
    <t>v1.2</t>
  </si>
  <si>
    <t xml:space="preserve">If you don't agree with the initial vulnerability assessment, please update any of the scoring using the 'update' columns for each climate hazard. Please provide any justifications for updates in the provided space. 
Once you have completed the review, please scroll down to the 'Risk Assessment' section. </t>
  </si>
  <si>
    <t>Does your industry rely on the following natural features? (either now or potentially in the future)</t>
  </si>
  <si>
    <t>Does your industry rely on any of the following built features? (either now or potentially in the future)</t>
  </si>
  <si>
    <t>Which of the following operations and activities are involved in your industry?</t>
  </si>
  <si>
    <t>Significant and widespread exposure of elements to the hazard e.g. &gt;75% of element/asset is exposed to the hazard</t>
  </si>
  <si>
    <t>High exposure of elements to the hazard e.g. 50-75% of element/asset is exposed to the hazard</t>
  </si>
  <si>
    <t>Moderate exposure of elements to the hazard e.g. 25-50% of element/asset is exposed to the hazard</t>
  </si>
  <si>
    <t>Isolated elements are exposed to the hazard e.g. 5-25% of element/asset is exposed to the hazard</t>
  </si>
  <si>
    <t>No elements are exposed to the hazard e.g. &lt;5% of element/asset is exposed to the hazard</t>
  </si>
  <si>
    <t xml:space="preserve">1. Focus on what you already know or have already seen within your industry, these scores are based on the present day and can be informed by past events you've experienced.
2. For the elements relevant to your industry consider the activities you do and where the assets and features are located. 
3. If no scoring is provided, a conservative and generic default scoring will be used which may not reflect the specific exposure of your industry. 
4. Greyed-out columns do not require scoring. </t>
  </si>
  <si>
    <t>Name of industry going through this assessment:</t>
  </si>
  <si>
    <t>Final reissue</t>
  </si>
  <si>
    <t>Small changes following further stakeholder workshops</t>
  </si>
  <si>
    <t>Client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</si>
</sst>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d/m/yy"/>
    <numFmt numFmtId="166" formatCode="[$-F800]dddd\,\ mmmm\ dd\,\ yyyy"/>
  </numFmts>
  <fonts count="84" x14ac:knownFonts="1">
    <font>
      <sz val="14"/>
      <color theme="1"/>
      <name val="Arial"/>
      <family val="2"/>
    </font>
    <font>
      <sz val="10"/>
      <name val="Arial"/>
      <family val="2"/>
    </font>
    <font>
      <sz val="10"/>
      <color theme="1"/>
      <name val="Arial"/>
      <family val="2"/>
    </font>
    <font>
      <b/>
      <u/>
      <sz val="12"/>
      <name val="Arial"/>
      <family val="2"/>
    </font>
    <font>
      <b/>
      <sz val="10"/>
      <name val="Arial"/>
      <family val="2"/>
    </font>
    <font>
      <sz val="14"/>
      <color theme="1"/>
      <name val="Arial"/>
      <family val="2"/>
    </font>
    <font>
      <b/>
      <sz val="16"/>
      <color theme="0"/>
      <name val="Arial"/>
      <family val="2"/>
    </font>
    <font>
      <b/>
      <sz val="14"/>
      <color theme="0"/>
      <name val="Arial"/>
      <family val="2"/>
    </font>
    <font>
      <i/>
      <sz val="14"/>
      <color rgb="FFFF0000"/>
      <name val="Arial"/>
      <family val="2"/>
    </font>
    <font>
      <b/>
      <sz val="14"/>
      <color theme="1"/>
      <name val="Arial"/>
      <family val="2"/>
    </font>
    <font>
      <i/>
      <sz val="14"/>
      <color theme="1"/>
      <name val="Arial"/>
      <family val="2"/>
    </font>
    <font>
      <sz val="8"/>
      <name val="Arial"/>
      <family val="2"/>
    </font>
    <font>
      <sz val="10"/>
      <color rgb="FF424242"/>
      <name val="Arial"/>
      <family val="2"/>
    </font>
    <font>
      <sz val="10"/>
      <color theme="1" tint="0.249977111117893"/>
      <name val="Arial"/>
      <family val="2"/>
    </font>
    <font>
      <sz val="14"/>
      <color rgb="FF262626"/>
      <name val="Arial"/>
      <family val="2"/>
    </font>
    <font>
      <b/>
      <sz val="16"/>
      <name val="Arial"/>
      <family val="2"/>
    </font>
    <font>
      <b/>
      <sz val="14"/>
      <color rgb="FF3F3F3F"/>
      <name val="Arial"/>
      <family val="2"/>
    </font>
    <font>
      <b/>
      <sz val="20"/>
      <color theme="0"/>
      <name val="Arial"/>
      <family val="2"/>
    </font>
    <font>
      <b/>
      <sz val="14"/>
      <color rgb="FFFFFFFF"/>
      <name val="Arial"/>
      <family val="2"/>
    </font>
    <font>
      <b/>
      <sz val="16"/>
      <color theme="1"/>
      <name val="Arial"/>
      <family val="2"/>
    </font>
    <font>
      <sz val="14"/>
      <color rgb="FF000000"/>
      <name val="Arial"/>
      <family val="2"/>
    </font>
    <font>
      <sz val="11"/>
      <color rgb="FF006100"/>
      <name val="Calibri"/>
      <family val="2"/>
      <scheme val="minor"/>
    </font>
    <font>
      <b/>
      <sz val="14"/>
      <color rgb="FFFF0000"/>
      <name val="Arial"/>
      <family val="2"/>
    </font>
    <font>
      <sz val="10"/>
      <color rgb="FF000000"/>
      <name val="Arial Nova"/>
      <family val="2"/>
    </font>
    <font>
      <b/>
      <sz val="14"/>
      <color rgb="FFFFFFFF"/>
      <name val="Arial Nova"/>
      <family val="2"/>
    </font>
    <font>
      <sz val="14"/>
      <color rgb="FF000000"/>
      <name val="Arial Nova"/>
      <family val="2"/>
    </font>
    <font>
      <b/>
      <sz val="14"/>
      <color theme="1" tint="4.9989318521683403E-2"/>
      <name val="Arial"/>
      <family val="2"/>
    </font>
    <font>
      <u/>
      <sz val="14"/>
      <color theme="1"/>
      <name val="Arial"/>
      <family val="2"/>
    </font>
    <font>
      <b/>
      <sz val="10"/>
      <color rgb="FFFFFFFF"/>
      <name val="Arial Nova"/>
      <family val="2"/>
    </font>
    <font>
      <sz val="14"/>
      <color theme="1"/>
      <name val="Arial Nova Light"/>
      <family val="2"/>
    </font>
    <font>
      <i/>
      <sz val="14"/>
      <color rgb="FFFF0000"/>
      <name val="Arial Nova Light"/>
      <family val="2"/>
    </font>
    <font>
      <sz val="12"/>
      <color theme="1"/>
      <name val="Arial Nova Light"/>
      <family val="2"/>
    </font>
    <font>
      <sz val="12"/>
      <color theme="1"/>
      <name val="Arial"/>
      <family val="2"/>
    </font>
    <font>
      <sz val="9"/>
      <color theme="1"/>
      <name val="Arial Nova Light"/>
      <family val="2"/>
    </font>
    <font>
      <b/>
      <i/>
      <sz val="14"/>
      <color rgb="FF12A8B2"/>
      <name val="Arial"/>
      <family val="2"/>
    </font>
    <font>
      <sz val="10"/>
      <color rgb="FF000000"/>
      <name val="Arial Nova"/>
      <family val="2"/>
    </font>
    <font>
      <b/>
      <sz val="10"/>
      <color rgb="FFFFFFFF"/>
      <name val="Arial Nova"/>
      <family val="2"/>
    </font>
    <font>
      <sz val="14"/>
      <color rgb="FFC00000"/>
      <name val="Arial"/>
      <family val="2"/>
    </font>
    <font>
      <sz val="14"/>
      <color theme="5" tint="-0.499984740745262"/>
      <name val="Arial"/>
      <family val="2"/>
    </font>
    <font>
      <sz val="14"/>
      <color theme="7" tint="-0.499984740745262"/>
      <name val="Arial"/>
      <family val="2"/>
    </font>
    <font>
      <sz val="14"/>
      <color theme="9" tint="-0.499984740745262"/>
      <name val="Arial"/>
      <family val="2"/>
    </font>
    <font>
      <b/>
      <sz val="12"/>
      <color theme="1"/>
      <name val="Arial Nova Light"/>
      <family val="2"/>
    </font>
    <font>
      <sz val="14"/>
      <name val="Arial Nova"/>
      <family val="2"/>
    </font>
    <font>
      <b/>
      <sz val="14"/>
      <name val="Arial Nova"/>
      <family val="2"/>
    </font>
    <font>
      <b/>
      <sz val="14"/>
      <name val="Arial"/>
      <family val="2"/>
    </font>
    <font>
      <sz val="14"/>
      <color rgb="FFFF0000"/>
      <name val="Arial"/>
      <family val="2"/>
    </font>
    <font>
      <sz val="11"/>
      <color theme="1"/>
      <name val="Calibri"/>
      <family val="2"/>
    </font>
    <font>
      <sz val="14"/>
      <name val="Arial"/>
      <family val="2"/>
    </font>
    <font>
      <b/>
      <sz val="18"/>
      <color theme="1"/>
      <name val="Arial"/>
      <family val="2"/>
    </font>
    <font>
      <sz val="14"/>
      <color rgb="FF000000"/>
      <name val="Times New Roman"/>
      <family val="1"/>
    </font>
    <font>
      <i/>
      <sz val="11"/>
      <color theme="1"/>
      <name val="Arial"/>
      <family val="2"/>
    </font>
    <font>
      <u/>
      <sz val="14"/>
      <color theme="10"/>
      <name val="Arial"/>
      <family val="2"/>
    </font>
    <font>
      <b/>
      <u/>
      <sz val="18"/>
      <name val="Arial"/>
      <family val="2"/>
    </font>
    <font>
      <b/>
      <sz val="20"/>
      <color theme="1"/>
      <name val="Arial"/>
      <family val="2"/>
    </font>
    <font>
      <sz val="8"/>
      <color theme="1"/>
      <name val="Arial Nova Light"/>
      <family val="2"/>
    </font>
    <font>
      <sz val="14"/>
      <color theme="9" tint="-0.249977111117893"/>
      <name val="Arial"/>
      <family val="2"/>
    </font>
    <font>
      <b/>
      <i/>
      <sz val="14"/>
      <color theme="0"/>
      <name val="Arial"/>
      <family val="2"/>
    </font>
    <font>
      <i/>
      <sz val="14"/>
      <color theme="8" tint="-0.249977111117893"/>
      <name val="Arial"/>
      <family val="2"/>
    </font>
    <font>
      <sz val="12"/>
      <color theme="1"/>
      <name val="Arial Nova Light"/>
      <family val="2"/>
    </font>
    <font>
      <sz val="11"/>
      <color theme="1"/>
      <name val="Arial Nova Light"/>
      <family val="2"/>
    </font>
    <font>
      <sz val="10"/>
      <color theme="1"/>
      <name val="Arial Nova Light"/>
      <family val="2"/>
    </font>
    <font>
      <sz val="10"/>
      <color theme="1"/>
      <name val="Arial Nova Light"/>
      <family val="2"/>
    </font>
    <font>
      <b/>
      <sz val="10"/>
      <color theme="1"/>
      <name val="Arial Nova Light"/>
      <family val="2"/>
    </font>
    <font>
      <b/>
      <sz val="10"/>
      <color theme="1"/>
      <name val="Arial Nova Light"/>
      <family val="2"/>
    </font>
    <font>
      <i/>
      <sz val="10"/>
      <color theme="1"/>
      <name val="Arial Nova Light"/>
      <family val="2"/>
    </font>
    <font>
      <i/>
      <sz val="12"/>
      <color rgb="FFFF0000"/>
      <name val="Arial"/>
      <family val="2"/>
    </font>
    <font>
      <i/>
      <sz val="10"/>
      <color rgb="FFFF0000"/>
      <name val="Arial"/>
      <family val="2"/>
    </font>
    <font>
      <b/>
      <sz val="28"/>
      <color theme="0"/>
      <name val="Arial"/>
      <family val="2"/>
    </font>
    <font>
      <i/>
      <u/>
      <sz val="10"/>
      <color theme="4" tint="-0.249977111117893"/>
      <name val="Arial Nova Light"/>
      <family val="2"/>
    </font>
    <font>
      <i/>
      <sz val="10"/>
      <color theme="1"/>
      <name val="Arial Nova Light"/>
      <family val="2"/>
    </font>
    <font>
      <sz val="14"/>
      <color theme="1"/>
      <name val="Arial Nova Light"/>
      <family val="2"/>
    </font>
    <font>
      <i/>
      <sz val="8"/>
      <color theme="1" tint="4.9989318521683403E-2"/>
      <name val="Arial Nova"/>
      <family val="2"/>
    </font>
    <font>
      <sz val="10"/>
      <color theme="0"/>
      <name val="Arial Nova"/>
      <family val="2"/>
    </font>
    <font>
      <i/>
      <u/>
      <sz val="14"/>
      <color theme="1"/>
      <name val="Arial"/>
      <family val="2"/>
    </font>
    <font>
      <b/>
      <u/>
      <sz val="14"/>
      <color theme="10"/>
      <name val="Arial"/>
      <family val="2"/>
    </font>
    <font>
      <i/>
      <u/>
      <sz val="14"/>
      <color theme="10"/>
      <name val="Arial Nova Light"/>
      <family val="2"/>
    </font>
    <font>
      <i/>
      <sz val="14"/>
      <color theme="1"/>
      <name val="Arial Nova Light"/>
      <family val="2"/>
    </font>
    <font>
      <i/>
      <sz val="10"/>
      <color theme="1"/>
      <name val="Arial"/>
      <family val="2"/>
    </font>
    <font>
      <u/>
      <sz val="14"/>
      <name val="Arial"/>
      <family val="2"/>
    </font>
    <font>
      <sz val="12"/>
      <name val="Arial"/>
      <family val="2"/>
    </font>
    <font>
      <i/>
      <u/>
      <sz val="14"/>
      <color theme="10"/>
      <name val="Arial"/>
      <family val="2"/>
    </font>
    <font>
      <sz val="9"/>
      <color theme="1"/>
      <name val="Arial Nova Light"/>
      <family val="2"/>
    </font>
    <font>
      <sz val="14"/>
      <color theme="0"/>
      <name val="Arial"/>
      <family val="2"/>
    </font>
    <font>
      <b/>
      <sz val="18"/>
      <color theme="0"/>
      <name val="Arial"/>
      <family val="2"/>
    </font>
  </fonts>
  <fills count="35">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rgb="FF00263A"/>
        <bgColor indexed="64"/>
      </patternFill>
    </fill>
    <fill>
      <patternFill patternType="solid">
        <fgColor rgb="FF6F6E6D"/>
        <bgColor indexed="64"/>
      </patternFill>
    </fill>
    <fill>
      <patternFill patternType="solid">
        <fgColor rgb="FF84C5C6"/>
        <bgColor indexed="64"/>
      </patternFill>
    </fill>
    <fill>
      <patternFill patternType="solid">
        <fgColor rgb="FFC2CF85"/>
        <bgColor indexed="64"/>
      </patternFill>
    </fill>
    <fill>
      <patternFill patternType="solid">
        <fgColor rgb="FFF2F2F2"/>
      </patternFill>
    </fill>
    <fill>
      <patternFill patternType="solid">
        <fgColor rgb="FF12A8B2"/>
        <bgColor indexed="64"/>
      </patternFill>
    </fill>
    <fill>
      <patternFill patternType="solid">
        <fgColor rgb="FFC2B4A2"/>
        <bgColor indexed="64"/>
      </patternFill>
    </fill>
    <fill>
      <patternFill patternType="solid">
        <fgColor rgb="FFFFFFFF"/>
        <bgColor indexed="64"/>
      </patternFill>
    </fill>
    <fill>
      <patternFill patternType="solid">
        <fgColor rgb="FFC6EFCE"/>
      </patternFill>
    </fill>
    <fill>
      <patternFill patternType="solid">
        <fgColor theme="8" tint="0.79998168889431442"/>
        <bgColor indexed="64"/>
      </patternFill>
    </fill>
    <fill>
      <patternFill patternType="solid">
        <fgColor rgb="FFFF0000"/>
        <bgColor indexed="64"/>
      </patternFill>
    </fill>
    <fill>
      <patternFill patternType="solid">
        <fgColor rgb="FFF2F2F2"/>
        <bgColor indexed="64"/>
      </patternFill>
    </fill>
    <fill>
      <patternFill patternType="solid">
        <fgColor rgb="FFFFC000"/>
        <bgColor indexed="64"/>
      </patternFill>
    </fill>
    <fill>
      <patternFill patternType="solid">
        <fgColor rgb="FF92D050"/>
        <bgColor indexed="64"/>
      </patternFill>
    </fill>
    <fill>
      <patternFill patternType="solid">
        <fgColor rgb="FFEDEDED"/>
        <bgColor indexed="64"/>
      </patternFill>
    </fill>
    <fill>
      <patternFill patternType="solid">
        <fgColor rgb="FFDBDBDB"/>
        <bgColor indexed="64"/>
      </patternFill>
    </fill>
    <fill>
      <patternFill patternType="solid">
        <fgColor rgb="FFC9C9C9"/>
        <bgColor indexed="64"/>
      </patternFill>
    </fill>
    <fill>
      <patternFill patternType="solid">
        <fgColor rgb="FF7B7B7B"/>
        <bgColor indexed="64"/>
      </patternFill>
    </fill>
    <fill>
      <patternFill patternType="solid">
        <fgColor rgb="FFCEF7FA"/>
        <bgColor indexed="64"/>
      </patternFill>
    </fill>
    <fill>
      <patternFill patternType="solid">
        <fgColor theme="7"/>
        <bgColor indexed="64"/>
      </patternFill>
    </fill>
    <fill>
      <patternFill patternType="solid">
        <fgColor rgb="FFFF8B8B"/>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7CD1D7"/>
        <bgColor indexed="64"/>
      </patternFill>
    </fill>
    <fill>
      <patternFill patternType="solid">
        <fgColor theme="5" tint="0.79998168889431442"/>
        <bgColor indexed="64"/>
      </patternFill>
    </fill>
    <fill>
      <patternFill patternType="solid">
        <fgColor theme="4" tint="0.79998168889431442"/>
        <bgColor theme="4" tint="0.79998168889431442"/>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hair">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ck">
        <color rgb="FFFFFFFF"/>
      </right>
      <top/>
      <bottom style="thick">
        <color rgb="FFFFFFFF"/>
      </bottom>
      <diagonal/>
    </border>
    <border>
      <left/>
      <right/>
      <top/>
      <bottom style="thick">
        <color rgb="FFFFFFFF"/>
      </bottom>
      <diagonal/>
    </border>
    <border>
      <left/>
      <right style="medium">
        <color rgb="FFFFFFFF"/>
      </right>
      <top/>
      <bottom style="medium">
        <color rgb="FFFFFFFF"/>
      </bottom>
      <diagonal/>
    </border>
    <border>
      <left/>
      <right/>
      <top/>
      <bottom style="medium">
        <color rgb="FFFFFFFF"/>
      </bottom>
      <diagonal/>
    </border>
    <border>
      <left/>
      <right style="medium">
        <color rgb="FFFFFFFF"/>
      </right>
      <top/>
      <bottom style="thick">
        <color rgb="FFFFFFFF"/>
      </bottom>
      <diagonal/>
    </border>
    <border>
      <left/>
      <right style="thick">
        <color rgb="FFFFFFFF"/>
      </right>
      <top/>
      <bottom style="medium">
        <color rgb="FFFFFFFF"/>
      </bottom>
      <diagonal/>
    </border>
    <border>
      <left/>
      <right style="thick">
        <color rgb="FFFFFFFF"/>
      </right>
      <top/>
      <bottom/>
      <diagonal/>
    </border>
    <border>
      <left style="thin">
        <color indexed="64"/>
      </left>
      <right/>
      <top/>
      <bottom style="thin">
        <color theme="4" tint="0.39997558519241921"/>
      </bottom>
      <diagonal/>
    </border>
    <border>
      <left/>
      <right/>
      <top/>
      <bottom style="thin">
        <color theme="4" tint="0.39997558519241921"/>
      </bottom>
      <diagonal/>
    </border>
    <border>
      <left style="medium">
        <color rgb="FFFFFFFF"/>
      </left>
      <right/>
      <top/>
      <bottom/>
      <diagonal/>
    </border>
    <border>
      <left style="thin">
        <color indexed="64"/>
      </left>
      <right style="thin">
        <color indexed="64"/>
      </right>
      <top style="thin">
        <color indexed="64"/>
      </top>
      <bottom/>
      <diagonal/>
    </border>
    <border>
      <left style="thick">
        <color rgb="FFFFFFFF"/>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medium">
        <color rgb="FFFFFFFF"/>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style="medium">
        <color theme="0"/>
      </top>
      <bottom style="medium">
        <color theme="0"/>
      </bottom>
      <diagonal/>
    </border>
    <border>
      <left style="thin">
        <color indexed="64"/>
      </left>
      <right/>
      <top style="medium">
        <color theme="0"/>
      </top>
      <bottom style="medium">
        <color theme="0"/>
      </bottom>
      <diagonal/>
    </border>
    <border>
      <left/>
      <right style="thin">
        <color indexed="64"/>
      </right>
      <top style="medium">
        <color theme="0"/>
      </top>
      <bottom style="medium">
        <color theme="0"/>
      </bottom>
      <diagonal/>
    </border>
    <border>
      <left/>
      <right/>
      <top style="thin">
        <color theme="4" tint="0.39997558519241921"/>
      </top>
      <bottom style="thin">
        <color theme="4" tint="0.39997558519241921"/>
      </bottom>
      <diagonal/>
    </border>
    <border>
      <left style="thin">
        <color indexed="64"/>
      </left>
      <right/>
      <top style="thin">
        <color indexed="64"/>
      </top>
      <bottom style="thin">
        <color theme="4" tint="0.39997558519241921"/>
      </bottom>
      <diagonal/>
    </border>
    <border>
      <left/>
      <right/>
      <top style="thin">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indexed="64"/>
      </bottom>
      <diagonal/>
    </border>
    <border>
      <left style="thin">
        <color indexed="64"/>
      </left>
      <right/>
      <top style="thin">
        <color theme="4" tint="0.39997558519241921"/>
      </top>
      <bottom style="thin">
        <color indexed="64"/>
      </bottom>
      <diagonal/>
    </border>
    <border>
      <left style="thin">
        <color indexed="64"/>
      </left>
      <right/>
      <top style="thin">
        <color theme="4" tint="0.39997558519241921"/>
      </top>
      <bottom/>
      <diagonal/>
    </border>
    <border>
      <left/>
      <right/>
      <top style="thin">
        <color theme="4" tint="0.39997558519241921"/>
      </top>
      <bottom/>
      <diagonal/>
    </border>
    <border>
      <left style="thin">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thin">
        <color indexed="64"/>
      </right>
      <top/>
      <bottom style="medium">
        <color indexed="64"/>
      </bottom>
      <diagonal/>
    </border>
    <border>
      <left style="thin">
        <color theme="4" tint="0.39997558519241921"/>
      </left>
      <right/>
      <top style="thin">
        <color theme="4" tint="0.39997558519241921"/>
      </top>
      <bottom/>
      <diagonal/>
    </border>
    <border>
      <left style="medium">
        <color indexed="64"/>
      </left>
      <right/>
      <top style="medium">
        <color indexed="64"/>
      </top>
      <bottom style="thin">
        <color theme="4" tint="0.39997558519241921"/>
      </bottom>
      <diagonal/>
    </border>
    <border>
      <left style="medium">
        <color indexed="64"/>
      </left>
      <right/>
      <top style="thin">
        <color theme="4" tint="0.39997558519241921"/>
      </top>
      <bottom style="thin">
        <color theme="4" tint="0.39997558519241921"/>
      </bottom>
      <diagonal/>
    </border>
    <border>
      <left style="medium">
        <color indexed="64"/>
      </left>
      <right/>
      <top style="thin">
        <color theme="4" tint="0.39997558519241921"/>
      </top>
      <bottom style="medium">
        <color indexed="64"/>
      </bottom>
      <diagonal/>
    </border>
    <border>
      <left style="medium">
        <color indexed="64"/>
      </left>
      <right/>
      <top style="thin">
        <color theme="4" tint="0.39997558519241921"/>
      </top>
      <bottom/>
      <diagonal/>
    </border>
  </borders>
  <cellStyleXfs count="17">
    <xf numFmtId="0" fontId="0" fillId="2" borderId="0">
      <alignment horizontal="center" vertical="center"/>
    </xf>
    <xf numFmtId="0" fontId="6" fillId="7" borderId="0">
      <alignment horizontal="center"/>
    </xf>
    <xf numFmtId="0" fontId="5" fillId="2" borderId="1">
      <alignment horizontal="center" vertical="center" wrapText="1"/>
      <protection locked="0"/>
    </xf>
    <xf numFmtId="0" fontId="7" fillId="8" borderId="0">
      <alignment horizontal="center" vertical="center" wrapText="1"/>
    </xf>
    <xf numFmtId="0" fontId="5" fillId="9" borderId="0">
      <alignment horizontal="left" vertical="center"/>
    </xf>
    <xf numFmtId="0" fontId="5" fillId="10" borderId="0">
      <alignment horizontal="right" vertical="center" wrapText="1"/>
    </xf>
    <xf numFmtId="0" fontId="5" fillId="2" borderId="0">
      <alignment horizontal="right" vertical="center" wrapText="1"/>
    </xf>
    <xf numFmtId="0" fontId="5" fillId="0" borderId="0">
      <alignment wrapText="1"/>
    </xf>
    <xf numFmtId="0" fontId="7" fillId="0" borderId="19" applyBorder="0">
      <alignment horizontal="center" vertical="center" wrapText="1"/>
    </xf>
    <xf numFmtId="0" fontId="16" fillId="11" borderId="12" applyNumberFormat="0" applyAlignment="0" applyProtection="0"/>
    <xf numFmtId="0" fontId="5" fillId="6" borderId="1">
      <alignment horizontal="left" vertical="center"/>
      <protection locked="0"/>
    </xf>
    <xf numFmtId="0" fontId="15" fillId="13" borderId="0">
      <alignment horizontal="left"/>
    </xf>
    <xf numFmtId="0" fontId="21" fillId="15" borderId="0" applyNumberFormat="0" applyBorder="0" applyAlignment="0" applyProtection="0"/>
    <xf numFmtId="0" fontId="51" fillId="2" borderId="0" applyNumberFormat="0" applyFill="0" applyBorder="0" applyAlignment="0" applyProtection="0">
      <alignment horizontal="center" vertical="center"/>
    </xf>
    <xf numFmtId="0" fontId="5" fillId="2" borderId="0">
      <alignment horizontal="center" vertical="center"/>
    </xf>
    <xf numFmtId="0" fontId="5" fillId="25" borderId="16" applyBorder="0">
      <alignment horizontal="center" vertical="center" wrapText="1"/>
      <protection locked="0"/>
    </xf>
    <xf numFmtId="0" fontId="5" fillId="6" borderId="1">
      <alignment horizontal="center" vertical="center"/>
      <protection locked="0"/>
    </xf>
  </cellStyleXfs>
  <cellXfs count="579">
    <xf numFmtId="0" fontId="0" fillId="2" borderId="0" xfId="0">
      <alignment horizontal="center" vertical="center"/>
    </xf>
    <xf numFmtId="0" fontId="1" fillId="2" borderId="3" xfId="0" applyFont="1" applyBorder="1" applyAlignment="1">
      <alignment horizontal="left" vertical="center"/>
    </xf>
    <xf numFmtId="0" fontId="2" fillId="2" borderId="4" xfId="0" applyFont="1" applyBorder="1" applyAlignment="1">
      <alignment vertical="center"/>
    </xf>
    <xf numFmtId="0" fontId="2" fillId="2" borderId="0" xfId="0" applyFont="1" applyAlignment="1">
      <alignment vertical="center"/>
    </xf>
    <xf numFmtId="0" fontId="1" fillId="2" borderId="6" xfId="0" applyFont="1" applyBorder="1" applyAlignment="1">
      <alignment horizontal="left" vertical="center"/>
    </xf>
    <xf numFmtId="0" fontId="2" fillId="2" borderId="8" xfId="0" applyFont="1" applyBorder="1" applyAlignment="1">
      <alignment vertical="center"/>
    </xf>
    <xf numFmtId="165" fontId="1" fillId="2" borderId="8" xfId="0" applyNumberFormat="1" applyFont="1" applyBorder="1" applyAlignment="1">
      <alignment vertical="center"/>
    </xf>
    <xf numFmtId="0" fontId="2" fillId="2" borderId="6" xfId="0" applyFont="1" applyBorder="1" applyAlignment="1">
      <alignment vertical="center"/>
    </xf>
    <xf numFmtId="0" fontId="4" fillId="2" borderId="0" xfId="0" applyFont="1" applyAlignment="1">
      <alignment horizontal="right" vertical="center"/>
    </xf>
    <xf numFmtId="0" fontId="0" fillId="2" borderId="9" xfId="0" applyBorder="1" applyAlignment="1">
      <alignment wrapText="1"/>
    </xf>
    <xf numFmtId="0" fontId="0" fillId="2" borderId="10" xfId="0" applyBorder="1">
      <alignment horizontal="center" vertical="center"/>
    </xf>
    <xf numFmtId="0" fontId="0" fillId="2" borderId="10" xfId="0" applyBorder="1" applyAlignment="1">
      <alignment wrapText="1"/>
    </xf>
    <xf numFmtId="0" fontId="0" fillId="2" borderId="11" xfId="0" applyBorder="1">
      <alignment horizontal="center" vertical="center"/>
    </xf>
    <xf numFmtId="0" fontId="5" fillId="2" borderId="0" xfId="0" applyFont="1">
      <alignment horizontal="center" vertical="center"/>
    </xf>
    <xf numFmtId="0" fontId="9" fillId="2" borderId="0" xfId="0" applyFont="1">
      <alignment horizontal="center" vertical="center"/>
    </xf>
    <xf numFmtId="0" fontId="5" fillId="2" borderId="19" xfId="0" applyFont="1" applyBorder="1">
      <alignment horizontal="center" vertical="center"/>
    </xf>
    <xf numFmtId="0" fontId="5" fillId="2" borderId="0" xfId="6">
      <alignment horizontal="right" vertical="center" wrapText="1"/>
    </xf>
    <xf numFmtId="0" fontId="0" fillId="2" borderId="15" xfId="0" applyBorder="1">
      <alignment horizontal="center" vertical="center"/>
    </xf>
    <xf numFmtId="0" fontId="0" fillId="2" borderId="1" xfId="0" applyBorder="1">
      <alignment horizontal="center" vertical="center"/>
    </xf>
    <xf numFmtId="0" fontId="0" fillId="2" borderId="2" xfId="0" applyBorder="1">
      <alignment horizontal="center" vertical="center"/>
    </xf>
    <xf numFmtId="0" fontId="5" fillId="2" borderId="19" xfId="6" applyBorder="1" applyAlignment="1">
      <alignment vertical="center" wrapText="1"/>
    </xf>
    <xf numFmtId="0" fontId="0" fillId="2" borderId="16" xfId="0" applyBorder="1">
      <alignment horizontal="center" vertical="center"/>
    </xf>
    <xf numFmtId="0" fontId="0" fillId="2" borderId="0" xfId="0" applyAlignment="1">
      <alignment horizontal="left" vertical="center"/>
    </xf>
    <xf numFmtId="0" fontId="0" fillId="2" borderId="19" xfId="0" applyBorder="1">
      <alignment horizontal="center" vertical="center"/>
    </xf>
    <xf numFmtId="0" fontId="5" fillId="2" borderId="0" xfId="0" applyFont="1" applyAlignment="1">
      <alignment horizontal="left" vertical="center"/>
    </xf>
    <xf numFmtId="0" fontId="0" fillId="2" borderId="0" xfId="0" applyAlignment="1">
      <alignment horizontal="right" vertical="center"/>
    </xf>
    <xf numFmtId="0" fontId="0" fillId="2" borderId="6" xfId="0" applyBorder="1">
      <alignment horizontal="center" vertical="center"/>
    </xf>
    <xf numFmtId="0" fontId="0" fillId="2" borderId="8" xfId="0" applyBorder="1">
      <alignment horizontal="center" vertical="center"/>
    </xf>
    <xf numFmtId="0" fontId="0" fillId="2" borderId="9" xfId="0" applyBorder="1">
      <alignment horizontal="center" vertical="center"/>
    </xf>
    <xf numFmtId="0" fontId="0" fillId="2" borderId="26" xfId="0" applyBorder="1">
      <alignment horizontal="center" vertical="center"/>
    </xf>
    <xf numFmtId="0" fontId="0" fillId="2" borderId="1" xfId="0" applyBorder="1" applyAlignment="1">
      <alignment horizontal="center" vertical="center" wrapText="1"/>
    </xf>
    <xf numFmtId="0" fontId="0" fillId="2" borderId="0" xfId="0" applyAlignment="1">
      <alignment horizontal="left" vertical="center" wrapText="1"/>
    </xf>
    <xf numFmtId="0" fontId="1" fillId="2" borderId="7" xfId="0" applyFont="1" applyBorder="1" applyAlignment="1">
      <alignment vertical="center"/>
    </xf>
    <xf numFmtId="0" fontId="1" fillId="2" borderId="7" xfId="0" applyFont="1" applyBorder="1">
      <alignment horizontal="center" vertical="center"/>
    </xf>
    <xf numFmtId="0" fontId="1" fillId="2" borderId="7" xfId="0" applyFont="1" applyBorder="1" applyAlignment="1">
      <alignment horizontal="left" vertical="center"/>
    </xf>
    <xf numFmtId="0" fontId="5" fillId="2" borderId="3" xfId="6" applyBorder="1">
      <alignment horizontal="right" vertical="center" wrapText="1"/>
    </xf>
    <xf numFmtId="0" fontId="5" fillId="2" borderId="4" xfId="6" applyBorder="1">
      <alignment horizontal="right" vertical="center" wrapText="1"/>
    </xf>
    <xf numFmtId="0" fontId="5" fillId="2" borderId="5" xfId="6" applyBorder="1">
      <alignment horizontal="right" vertical="center" wrapText="1"/>
    </xf>
    <xf numFmtId="164" fontId="1" fillId="2" borderId="23" xfId="0" applyNumberFormat="1" applyFont="1" applyBorder="1">
      <alignment horizontal="center" vertical="center"/>
    </xf>
    <xf numFmtId="164" fontId="21" fillId="15" borderId="24" xfId="12" applyNumberFormat="1" applyBorder="1" applyAlignment="1" applyProtection="1">
      <alignment horizontal="center" vertical="center"/>
    </xf>
    <xf numFmtId="0" fontId="1" fillId="2" borderId="23" xfId="0" applyFont="1" applyBorder="1" applyAlignment="1">
      <alignment vertical="center"/>
    </xf>
    <xf numFmtId="0" fontId="4" fillId="2" borderId="10" xfId="0" applyFont="1" applyBorder="1" applyAlignment="1">
      <alignment horizontal="right" vertical="center"/>
    </xf>
    <xf numFmtId="0" fontId="1" fillId="2" borderId="10" xfId="0" applyFont="1" applyBorder="1" applyAlignment="1">
      <alignment vertical="center"/>
    </xf>
    <xf numFmtId="0" fontId="1" fillId="2" borderId="11" xfId="0" applyFont="1" applyBorder="1" applyAlignment="1">
      <alignment vertical="center"/>
    </xf>
    <xf numFmtId="0" fontId="0" fillId="2" borderId="3" xfId="6" applyFont="1" applyBorder="1">
      <alignment horizontal="right" vertical="center" wrapText="1"/>
    </xf>
    <xf numFmtId="0" fontId="0" fillId="2" borderId="4" xfId="6" applyFont="1" applyBorder="1">
      <alignment horizontal="right" vertical="center" wrapText="1"/>
    </xf>
    <xf numFmtId="0" fontId="0" fillId="2" borderId="5" xfId="6" applyFont="1" applyBorder="1">
      <alignment horizontal="right" vertical="center" wrapText="1"/>
    </xf>
    <xf numFmtId="0" fontId="9" fillId="2" borderId="1" xfId="6" applyFont="1" applyBorder="1" applyAlignment="1">
      <alignment horizontal="left" vertical="center" wrapText="1"/>
    </xf>
    <xf numFmtId="0" fontId="5" fillId="2" borderId="1" xfId="6" applyBorder="1" applyAlignment="1">
      <alignment horizontal="left" vertical="center" wrapText="1"/>
    </xf>
    <xf numFmtId="0" fontId="0" fillId="2" borderId="0" xfId="0" applyAlignment="1">
      <alignment horizontal="center" vertical="center" wrapText="1"/>
    </xf>
    <xf numFmtId="0" fontId="0" fillId="2" borderId="17" xfId="0" applyBorder="1">
      <alignment horizontal="center" vertical="center"/>
    </xf>
    <xf numFmtId="14" fontId="5" fillId="2" borderId="1" xfId="6" applyNumberFormat="1" applyBorder="1" applyAlignment="1">
      <alignment horizontal="left" vertical="center" wrapText="1"/>
    </xf>
    <xf numFmtId="14" fontId="0" fillId="2" borderId="1" xfId="6" applyNumberFormat="1" applyFont="1" applyBorder="1" applyAlignment="1">
      <alignment horizontal="left" vertical="center" wrapText="1"/>
    </xf>
    <xf numFmtId="0" fontId="5" fillId="2" borderId="0" xfId="6" applyAlignment="1">
      <alignment horizontal="left" vertical="center"/>
    </xf>
    <xf numFmtId="0" fontId="22" fillId="2" borderId="0" xfId="0" applyFont="1">
      <alignment horizontal="center" vertical="center"/>
    </xf>
    <xf numFmtId="0" fontId="0" fillId="2" borderId="19" xfId="6" applyFont="1" applyBorder="1" applyAlignment="1">
      <alignment vertical="center" wrapText="1"/>
    </xf>
    <xf numFmtId="0" fontId="0" fillId="2" borderId="2" xfId="6" applyFont="1" applyBorder="1" applyAlignment="1">
      <alignment vertical="center" wrapText="1"/>
    </xf>
    <xf numFmtId="0" fontId="0" fillId="2" borderId="0" xfId="6" applyFont="1" applyAlignment="1">
      <alignment horizontal="left" vertical="center"/>
    </xf>
    <xf numFmtId="0" fontId="0" fillId="2" borderId="13" xfId="0" applyBorder="1" applyAlignment="1">
      <alignment horizontal="center" vertical="center" wrapText="1"/>
    </xf>
    <xf numFmtId="164" fontId="21" fillId="15" borderId="24" xfId="12" applyNumberFormat="1" applyBorder="1" applyAlignment="1">
      <alignment horizontal="center" vertical="center"/>
    </xf>
    <xf numFmtId="0" fontId="9" fillId="2" borderId="0" xfId="6" applyFont="1">
      <alignment horizontal="right" vertical="center" wrapText="1"/>
    </xf>
    <xf numFmtId="0" fontId="0" fillId="16" borderId="0" xfId="0" applyFill="1">
      <alignment horizontal="center" vertical="center"/>
    </xf>
    <xf numFmtId="0" fontId="19" fillId="16" borderId="0" xfId="0" applyFont="1" applyFill="1">
      <alignment horizontal="center" vertical="center"/>
    </xf>
    <xf numFmtId="0" fontId="0" fillId="6" borderId="0" xfId="0" applyFill="1">
      <alignment horizontal="center" vertical="center"/>
    </xf>
    <xf numFmtId="0" fontId="23" fillId="21" borderId="31" xfId="0" applyFont="1" applyFill="1" applyBorder="1">
      <alignment horizontal="center" vertical="center"/>
    </xf>
    <xf numFmtId="0" fontId="23" fillId="22" borderId="31" xfId="0" applyFont="1" applyFill="1" applyBorder="1">
      <alignment horizontal="center" vertical="center"/>
    </xf>
    <xf numFmtId="0" fontId="23" fillId="23" borderId="31" xfId="0" applyFont="1" applyFill="1" applyBorder="1">
      <alignment horizontal="center" vertical="center"/>
    </xf>
    <xf numFmtId="0" fontId="23" fillId="5" borderId="29" xfId="0" applyFont="1" applyFill="1" applyBorder="1">
      <alignment horizontal="center" vertical="center"/>
    </xf>
    <xf numFmtId="0" fontId="23" fillId="19" borderId="29" xfId="0" applyFont="1" applyFill="1" applyBorder="1">
      <alignment horizontal="center" vertical="center"/>
    </xf>
    <xf numFmtId="0" fontId="23" fillId="23" borderId="32" xfId="0" applyFont="1" applyFill="1" applyBorder="1">
      <alignment horizontal="center" vertical="center"/>
    </xf>
    <xf numFmtId="0" fontId="23" fillId="20" borderId="29" xfId="0" applyFont="1" applyFill="1" applyBorder="1">
      <alignment horizontal="center" vertical="center"/>
    </xf>
    <xf numFmtId="0" fontId="23" fillId="22" borderId="32" xfId="0" applyFont="1" applyFill="1" applyBorder="1">
      <alignment horizontal="center" vertical="center"/>
    </xf>
    <xf numFmtId="0" fontId="23" fillId="19" borderId="30" xfId="0" applyFont="1" applyFill="1" applyBorder="1">
      <alignment horizontal="center" vertical="center"/>
    </xf>
    <xf numFmtId="0" fontId="0" fillId="4" borderId="17" xfId="0" applyFill="1" applyBorder="1" applyAlignment="1">
      <alignment horizontal="left" vertical="center"/>
    </xf>
    <xf numFmtId="0" fontId="0" fillId="4" borderId="15" xfId="0" applyFill="1" applyBorder="1" applyAlignment="1">
      <alignment horizontal="left" vertical="center"/>
    </xf>
    <xf numFmtId="0" fontId="9" fillId="4" borderId="19" xfId="0" applyFont="1" applyFill="1" applyBorder="1" applyAlignment="1">
      <alignment vertical="center"/>
    </xf>
    <xf numFmtId="0" fontId="9" fillId="4" borderId="16" xfId="0" applyFont="1" applyFill="1" applyBorder="1" applyAlignment="1">
      <alignment vertical="center"/>
    </xf>
    <xf numFmtId="0" fontId="9" fillId="4" borderId="20" xfId="0" applyFont="1" applyFill="1" applyBorder="1" applyAlignment="1">
      <alignment horizontal="left" vertical="center"/>
    </xf>
    <xf numFmtId="0" fontId="9" fillId="4" borderId="16" xfId="0" applyFont="1" applyFill="1" applyBorder="1" applyAlignment="1">
      <alignment horizontal="left" vertical="center"/>
    </xf>
    <xf numFmtId="0" fontId="9" fillId="4" borderId="19" xfId="0" applyFont="1" applyFill="1" applyBorder="1" applyAlignment="1">
      <alignment horizontal="left" vertical="center"/>
    </xf>
    <xf numFmtId="0" fontId="26" fillId="16" borderId="0" xfId="0" applyFont="1" applyFill="1">
      <alignment horizontal="center" vertical="center"/>
    </xf>
    <xf numFmtId="0" fontId="26" fillId="4" borderId="0" xfId="0" applyFont="1" applyFill="1">
      <alignment horizontal="center" vertical="center"/>
    </xf>
    <xf numFmtId="0" fontId="6" fillId="12" borderId="17" xfId="1" applyFill="1" applyBorder="1" applyAlignment="1">
      <alignment horizontal="center" vertical="center"/>
    </xf>
    <xf numFmtId="0" fontId="6" fillId="12" borderId="18" xfId="1" applyFill="1" applyBorder="1" applyAlignment="1">
      <alignment horizontal="right" vertical="center"/>
    </xf>
    <xf numFmtId="14" fontId="0" fillId="2" borderId="0" xfId="10" applyNumberFormat="1" applyFont="1" applyFill="1" applyBorder="1" applyAlignment="1">
      <alignment vertical="center"/>
      <protection locked="0"/>
    </xf>
    <xf numFmtId="0" fontId="10" fillId="2" borderId="0" xfId="0" applyFont="1" applyAlignment="1">
      <alignment horizontal="left" vertical="center"/>
    </xf>
    <xf numFmtId="0" fontId="8" fillId="2" borderId="0" xfId="0" applyFont="1" applyAlignment="1">
      <alignment horizontal="left" vertical="center"/>
    </xf>
    <xf numFmtId="0" fontId="0" fillId="2" borderId="1" xfId="0" applyBorder="1" applyAlignment="1">
      <alignment horizontal="left" vertical="center"/>
    </xf>
    <xf numFmtId="0" fontId="0" fillId="2" borderId="16" xfId="0" applyBorder="1" applyAlignment="1">
      <alignment horizontal="center" vertical="center" wrapText="1"/>
    </xf>
    <xf numFmtId="14" fontId="0" fillId="2" borderId="0" xfId="0" applyNumberFormat="1">
      <alignment horizontal="center" vertical="center"/>
    </xf>
    <xf numFmtId="0" fontId="8" fillId="2" borderId="0" xfId="0" applyFont="1" applyAlignment="1">
      <alignment horizontal="center" vertical="center" wrapText="1"/>
    </xf>
    <xf numFmtId="0" fontId="22" fillId="2" borderId="0" xfId="0" applyFont="1" applyAlignment="1">
      <alignment horizontal="center" vertical="center" wrapText="1"/>
    </xf>
    <xf numFmtId="0" fontId="9" fillId="2" borderId="0" xfId="0" applyFont="1" applyAlignment="1">
      <alignment horizontal="left" vertical="center"/>
    </xf>
    <xf numFmtId="0" fontId="0" fillId="4" borderId="0" xfId="0" applyFill="1" applyAlignment="1">
      <alignment horizontal="left" vertical="center"/>
    </xf>
    <xf numFmtId="0" fontId="9" fillId="4" borderId="0" xfId="0" applyFont="1" applyFill="1" applyAlignment="1">
      <alignment horizontal="left" vertical="center"/>
    </xf>
    <xf numFmtId="0" fontId="0" fillId="2" borderId="18" xfId="0" applyBorder="1">
      <alignment horizontal="center" vertical="center"/>
    </xf>
    <xf numFmtId="0" fontId="9" fillId="4" borderId="20" xfId="0" applyFont="1" applyFill="1" applyBorder="1" applyAlignment="1">
      <alignment vertical="center"/>
    </xf>
    <xf numFmtId="0" fontId="0" fillId="2" borderId="21" xfId="0" applyBorder="1">
      <alignment horizontal="center" vertical="center"/>
    </xf>
    <xf numFmtId="0" fontId="23" fillId="0" borderId="33" xfId="0" applyFont="1" applyFill="1" applyBorder="1">
      <alignment horizontal="center" vertical="center"/>
    </xf>
    <xf numFmtId="0" fontId="0" fillId="2" borderId="3" xfId="0" applyBorder="1">
      <alignment horizontal="center" vertical="center"/>
    </xf>
    <xf numFmtId="0" fontId="0" fillId="2" borderId="4" xfId="0" applyBorder="1">
      <alignment horizontal="center" vertical="center"/>
    </xf>
    <xf numFmtId="0" fontId="0" fillId="2" borderId="0" xfId="0" quotePrefix="1">
      <alignment horizontal="center" vertical="center"/>
    </xf>
    <xf numFmtId="0" fontId="0" fillId="2" borderId="10" xfId="0" quotePrefix="1" applyBorder="1">
      <alignment horizontal="center" vertical="center"/>
    </xf>
    <xf numFmtId="0" fontId="0" fillId="2" borderId="20" xfId="0" applyBorder="1">
      <alignment horizontal="center" vertical="center"/>
    </xf>
    <xf numFmtId="0" fontId="9" fillId="4" borderId="34" xfId="0" applyFont="1" applyFill="1" applyBorder="1" applyAlignment="1">
      <alignment horizontal="left" vertical="center"/>
    </xf>
    <xf numFmtId="0" fontId="0" fillId="4" borderId="35" xfId="0" applyFill="1" applyBorder="1" applyAlignment="1">
      <alignment horizontal="left" vertical="center"/>
    </xf>
    <xf numFmtId="0" fontId="23" fillId="4" borderId="29" xfId="0" applyFont="1" applyFill="1" applyBorder="1">
      <alignment horizontal="center" vertical="center"/>
    </xf>
    <xf numFmtId="0" fontId="29" fillId="2" borderId="0" xfId="0" applyFont="1">
      <alignment horizontal="center" vertical="center"/>
    </xf>
    <xf numFmtId="0" fontId="29" fillId="2" borderId="2" xfId="0" applyFont="1" applyBorder="1">
      <alignment horizontal="center" vertical="center"/>
    </xf>
    <xf numFmtId="0" fontId="29" fillId="2" borderId="19" xfId="0" applyFont="1" applyBorder="1">
      <alignment horizontal="center" vertical="center"/>
    </xf>
    <xf numFmtId="0" fontId="33" fillId="2" borderId="19" xfId="0" applyFont="1" applyBorder="1" applyAlignment="1">
      <alignment horizontal="right" vertical="center"/>
    </xf>
    <xf numFmtId="0" fontId="33" fillId="2" borderId="19" xfId="0" applyFont="1" applyBorder="1" applyAlignment="1">
      <alignment horizontal="right" vertical="top"/>
    </xf>
    <xf numFmtId="0" fontId="31" fillId="2" borderId="0" xfId="0" applyFont="1" applyAlignment="1">
      <alignment horizontal="center" vertical="center" wrapText="1"/>
    </xf>
    <xf numFmtId="0" fontId="31" fillId="2" borderId="0" xfId="0" applyFont="1">
      <alignment horizontal="center" vertical="center"/>
    </xf>
    <xf numFmtId="0" fontId="0" fillId="2" borderId="37" xfId="0" applyBorder="1" applyAlignment="1">
      <alignment horizontal="center" vertical="center" wrapText="1"/>
    </xf>
    <xf numFmtId="0" fontId="0" fillId="2" borderId="22" xfId="0" applyBorder="1" applyAlignment="1">
      <alignment horizontal="center" vertical="center" wrapText="1"/>
    </xf>
    <xf numFmtId="0" fontId="0" fillId="26" borderId="0" xfId="0" applyFill="1" applyAlignment="1">
      <alignment horizontal="left" vertical="center"/>
    </xf>
    <xf numFmtId="0" fontId="0" fillId="26" borderId="0" xfId="0" applyFill="1">
      <alignment horizontal="center" vertical="center"/>
    </xf>
    <xf numFmtId="0" fontId="19" fillId="26" borderId="0" xfId="0" applyFont="1" applyFill="1">
      <alignment horizontal="center" vertical="center"/>
    </xf>
    <xf numFmtId="0" fontId="18" fillId="12" borderId="27" xfId="0" applyFont="1" applyFill="1" applyBorder="1" applyAlignment="1">
      <alignment horizontal="center" vertical="center" wrapText="1"/>
    </xf>
    <xf numFmtId="0" fontId="20" fillId="17" borderId="29" xfId="0" applyFont="1" applyFill="1" applyBorder="1" applyAlignment="1">
      <alignment horizontal="center" vertical="center" wrapText="1"/>
    </xf>
    <xf numFmtId="0" fontId="20" fillId="19" borderId="29"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20" fillId="20" borderId="29" xfId="0" applyFont="1" applyFill="1" applyBorder="1" applyAlignment="1">
      <alignment horizontal="center" vertical="center" wrapText="1"/>
    </xf>
    <xf numFmtId="0" fontId="24" fillId="12" borderId="27" xfId="0" applyFont="1" applyFill="1" applyBorder="1" applyAlignment="1">
      <alignment horizontal="center" vertical="center" wrapText="1"/>
    </xf>
    <xf numFmtId="0" fontId="24" fillId="12" borderId="31" xfId="0" applyFont="1" applyFill="1" applyBorder="1" applyAlignment="1">
      <alignment horizontal="center" vertical="center" wrapText="1"/>
    </xf>
    <xf numFmtId="0" fontId="24" fillId="12" borderId="28" xfId="0" applyFont="1" applyFill="1" applyBorder="1" applyAlignment="1">
      <alignment horizontal="center" vertical="center" wrapText="1"/>
    </xf>
    <xf numFmtId="0" fontId="25" fillId="17" borderId="32" xfId="0" applyFont="1" applyFill="1" applyBorder="1" applyAlignment="1">
      <alignment horizontal="center" vertical="center" wrapText="1"/>
    </xf>
    <xf numFmtId="0" fontId="25" fillId="18" borderId="29" xfId="0" applyFont="1" applyFill="1" applyBorder="1" applyAlignment="1">
      <alignment horizontal="left" vertical="center" wrapText="1"/>
    </xf>
    <xf numFmtId="0" fontId="25" fillId="19" borderId="32" xfId="0" applyFont="1" applyFill="1" applyBorder="1" applyAlignment="1">
      <alignment horizontal="center" vertical="center" wrapText="1"/>
    </xf>
    <xf numFmtId="0" fontId="25" fillId="5" borderId="32" xfId="0" applyFont="1" applyFill="1" applyBorder="1" applyAlignment="1">
      <alignment horizontal="center" vertical="center" wrapText="1"/>
    </xf>
    <xf numFmtId="0" fontId="25" fillId="20" borderId="32" xfId="0" applyFont="1" applyFill="1" applyBorder="1" applyAlignment="1">
      <alignment horizontal="center" vertical="center" wrapText="1"/>
    </xf>
    <xf numFmtId="0" fontId="35" fillId="16" borderId="29" xfId="0" applyFont="1" applyFill="1" applyBorder="1">
      <alignment horizontal="center" vertical="center"/>
    </xf>
    <xf numFmtId="0" fontId="35" fillId="14" borderId="31" xfId="0" applyFont="1" applyFill="1" applyBorder="1">
      <alignment horizontal="center" vertical="center"/>
    </xf>
    <xf numFmtId="0" fontId="0" fillId="2" borderId="37" xfId="0" applyBorder="1">
      <alignment horizontal="center" vertical="center"/>
    </xf>
    <xf numFmtId="0" fontId="23" fillId="24" borderId="28" xfId="0" applyFont="1" applyFill="1" applyBorder="1">
      <alignment horizontal="center" vertical="center"/>
    </xf>
    <xf numFmtId="0" fontId="23" fillId="24" borderId="32" xfId="0" applyFont="1" applyFill="1" applyBorder="1">
      <alignment horizontal="center" vertical="center"/>
    </xf>
    <xf numFmtId="0" fontId="23" fillId="17" borderId="29" xfId="0" applyFont="1" applyFill="1" applyBorder="1">
      <alignment horizontal="center" vertical="center"/>
    </xf>
    <xf numFmtId="0" fontId="23" fillId="17" borderId="30" xfId="0" applyFont="1" applyFill="1" applyBorder="1">
      <alignment horizontal="center" vertical="center"/>
    </xf>
    <xf numFmtId="0" fontId="0" fillId="2" borderId="14" xfId="0" applyBorder="1">
      <alignment horizontal="center" vertical="center"/>
    </xf>
    <xf numFmtId="0" fontId="0" fillId="2" borderId="40" xfId="0" applyBorder="1">
      <alignment horizontal="center" vertical="center"/>
    </xf>
    <xf numFmtId="0" fontId="0" fillId="2" borderId="41" xfId="0" applyBorder="1">
      <alignment horizontal="center" vertical="center"/>
    </xf>
    <xf numFmtId="0" fontId="0" fillId="2" borderId="42" xfId="0" applyBorder="1">
      <alignment horizontal="center" vertical="center"/>
    </xf>
    <xf numFmtId="0" fontId="0" fillId="2" borderId="19" xfId="0" applyBorder="1" applyAlignment="1">
      <alignment vertical="center"/>
    </xf>
    <xf numFmtId="0" fontId="6" fillId="12" borderId="0" xfId="1" applyFill="1" applyAlignment="1">
      <alignment vertical="center" wrapText="1"/>
    </xf>
    <xf numFmtId="0" fontId="0" fillId="2" borderId="0" xfId="0" applyAlignment="1">
      <alignment vertical="center"/>
    </xf>
    <xf numFmtId="0" fontId="10" fillId="2" borderId="0" xfId="0" applyFont="1" applyAlignment="1">
      <alignment horizontal="right" vertical="center" wrapText="1"/>
    </xf>
    <xf numFmtId="0" fontId="31" fillId="2" borderId="0" xfId="0" applyFont="1" applyAlignment="1">
      <alignment horizontal="left" vertical="center"/>
    </xf>
    <xf numFmtId="0" fontId="31" fillId="2" borderId="0" xfId="0" applyFont="1" applyAlignment="1">
      <alignment horizontal="right" vertical="center"/>
    </xf>
    <xf numFmtId="0" fontId="9" fillId="2" borderId="0" xfId="6" applyFont="1" applyAlignment="1">
      <alignment vertical="center" wrapText="1"/>
    </xf>
    <xf numFmtId="0" fontId="0" fillId="2" borderId="0" xfId="0" applyAlignment="1">
      <alignment textRotation="75"/>
    </xf>
    <xf numFmtId="0" fontId="10" fillId="2" borderId="0" xfId="0" applyFont="1" applyAlignment="1">
      <alignment vertical="center"/>
    </xf>
    <xf numFmtId="0" fontId="0" fillId="2" borderId="39" xfId="0" applyBorder="1">
      <alignment horizontal="center" vertical="center"/>
    </xf>
    <xf numFmtId="0" fontId="0" fillId="2" borderId="0" xfId="0" applyAlignment="1">
      <alignment vertical="center" wrapText="1"/>
    </xf>
    <xf numFmtId="0" fontId="10" fillId="2" borderId="0" xfId="0" applyFont="1">
      <alignment horizontal="center" vertical="center"/>
    </xf>
    <xf numFmtId="0" fontId="45" fillId="2" borderId="0" xfId="0" applyFont="1">
      <alignment horizontal="center" vertical="center"/>
    </xf>
    <xf numFmtId="0" fontId="45" fillId="2" borderId="0" xfId="0" applyFont="1" applyAlignment="1">
      <alignment horizontal="center" vertical="center" wrapText="1"/>
    </xf>
    <xf numFmtId="0" fontId="45" fillId="2" borderId="0" xfId="0" applyFont="1" applyAlignment="1">
      <alignment horizontal="left" vertical="center"/>
    </xf>
    <xf numFmtId="0" fontId="0" fillId="2" borderId="21" xfId="0" applyBorder="1" applyAlignment="1">
      <alignment horizontal="center" vertical="center" wrapText="1"/>
    </xf>
    <xf numFmtId="0" fontId="46" fillId="2" borderId="0" xfId="0" applyFont="1">
      <alignment horizontal="center" vertical="center"/>
    </xf>
    <xf numFmtId="0" fontId="41" fillId="2" borderId="0" xfId="0" applyFont="1" applyAlignment="1">
      <alignment horizontal="center" vertical="center" wrapText="1"/>
    </xf>
    <xf numFmtId="0" fontId="0" fillId="4" borderId="18" xfId="0" applyFill="1" applyBorder="1" applyAlignment="1">
      <alignment horizontal="left" vertical="center"/>
    </xf>
    <xf numFmtId="0" fontId="0" fillId="4" borderId="2" xfId="0" applyFill="1" applyBorder="1" applyAlignment="1">
      <alignment horizontal="left" vertical="center"/>
    </xf>
    <xf numFmtId="0" fontId="0" fillId="4" borderId="21" xfId="0" applyFill="1" applyBorder="1" applyAlignment="1">
      <alignment horizontal="left" vertical="center"/>
    </xf>
    <xf numFmtId="0" fontId="25" fillId="18" borderId="44" xfId="0" applyFont="1" applyFill="1" applyBorder="1" applyAlignment="1">
      <alignment horizontal="left" vertical="center" wrapText="1"/>
    </xf>
    <xf numFmtId="0" fontId="0" fillId="2" borderId="19" xfId="0" applyBorder="1" applyAlignment="1">
      <alignment horizontal="right" vertical="center" wrapText="1"/>
    </xf>
    <xf numFmtId="0" fontId="0" fillId="2" borderId="0" xfId="0" applyAlignment="1">
      <alignment horizontal="right" vertical="center" wrapText="1"/>
    </xf>
    <xf numFmtId="0" fontId="0" fillId="31" borderId="1" xfId="0" applyFill="1" applyBorder="1" applyAlignment="1">
      <alignment horizontal="center" vertical="center" wrapText="1"/>
    </xf>
    <xf numFmtId="0" fontId="37" fillId="27" borderId="1" xfId="0" applyFont="1" applyFill="1" applyBorder="1" applyAlignment="1">
      <alignment horizontal="center" vertical="center" wrapText="1"/>
    </xf>
    <xf numFmtId="0" fontId="38" fillId="28" borderId="1" xfId="0" applyFont="1" applyFill="1" applyBorder="1" applyAlignment="1">
      <alignment horizontal="center" vertical="center" wrapText="1"/>
    </xf>
    <xf numFmtId="0" fontId="39" fillId="29" borderId="1" xfId="0" applyFont="1" applyFill="1" applyBorder="1" applyAlignment="1">
      <alignment horizontal="center" vertical="center" wrapText="1"/>
    </xf>
    <xf numFmtId="0" fontId="40" fillId="30" borderId="1" xfId="0" applyFont="1" applyFill="1" applyBorder="1" applyAlignment="1">
      <alignment horizontal="center" vertical="center" wrapText="1"/>
    </xf>
    <xf numFmtId="0" fontId="10" fillId="2" borderId="15" xfId="0" applyFont="1" applyBorder="1" applyAlignment="1">
      <alignment vertical="center"/>
    </xf>
    <xf numFmtId="0" fontId="0" fillId="2" borderId="17" xfId="0" applyBorder="1" applyAlignment="1">
      <alignment horizontal="left" vertical="center" wrapText="1"/>
    </xf>
    <xf numFmtId="0" fontId="0" fillId="2" borderId="43" xfId="0" applyBorder="1">
      <alignment horizontal="center" vertical="center"/>
    </xf>
    <xf numFmtId="0" fontId="0" fillId="2" borderId="0" xfId="0" applyAlignment="1">
      <alignment horizontal="left" vertical="top"/>
    </xf>
    <xf numFmtId="0" fontId="36" fillId="14" borderId="0" xfId="0" applyFont="1" applyFill="1">
      <alignment horizontal="center" vertical="center"/>
    </xf>
    <xf numFmtId="0" fontId="23" fillId="14" borderId="0" xfId="0" applyFont="1" applyFill="1">
      <alignment horizontal="center" vertical="center"/>
    </xf>
    <xf numFmtId="0" fontId="35" fillId="14" borderId="0" xfId="0" applyFont="1" applyFill="1">
      <alignment horizontal="center" vertical="center"/>
    </xf>
    <xf numFmtId="0" fontId="0" fillId="14" borderId="0" xfId="0" applyFill="1" applyAlignment="1">
      <alignment horizontal="center" vertical="center" wrapText="1"/>
    </xf>
    <xf numFmtId="0" fontId="0" fillId="2" borderId="15" xfId="0" applyBorder="1" applyAlignment="1">
      <alignment horizontal="center"/>
    </xf>
    <xf numFmtId="0" fontId="0" fillId="2" borderId="20" xfId="0" applyBorder="1" applyAlignment="1">
      <alignment horizontal="left"/>
    </xf>
    <xf numFmtId="0" fontId="0" fillId="6" borderId="45" xfId="0" applyFill="1" applyBorder="1" applyAlignment="1">
      <alignment horizontal="center" vertical="center" wrapText="1"/>
    </xf>
    <xf numFmtId="0" fontId="0" fillId="2" borderId="46" xfId="0" applyBorder="1">
      <alignment horizontal="center" vertical="center"/>
    </xf>
    <xf numFmtId="0" fontId="10" fillId="2" borderId="19" xfId="0" applyFont="1" applyBorder="1" applyAlignment="1">
      <alignment horizontal="right" vertical="center" wrapText="1"/>
    </xf>
    <xf numFmtId="0" fontId="9" fillId="2" borderId="1" xfId="0" applyFont="1" applyBorder="1" applyAlignment="1">
      <alignment horizontal="center" vertical="center" wrapText="1"/>
    </xf>
    <xf numFmtId="0" fontId="0" fillId="32" borderId="19" xfId="0" applyFill="1" applyBorder="1">
      <alignment horizontal="center" vertical="center"/>
    </xf>
    <xf numFmtId="0" fontId="0" fillId="32" borderId="0" xfId="0" applyFill="1">
      <alignment horizontal="center" vertical="center"/>
    </xf>
    <xf numFmtId="0" fontId="49" fillId="32" borderId="0" xfId="0" applyFont="1" applyFill="1">
      <alignment horizontal="center" vertical="center"/>
    </xf>
    <xf numFmtId="0" fontId="9" fillId="2" borderId="19" xfId="0" applyFont="1" applyBorder="1" applyAlignment="1">
      <alignment horizontal="left" vertical="center"/>
    </xf>
    <xf numFmtId="0" fontId="8" fillId="2" borderId="0" xfId="0" applyFont="1">
      <alignment horizontal="center" vertical="center"/>
    </xf>
    <xf numFmtId="0" fontId="0" fillId="12" borderId="39" xfId="0" applyFill="1" applyBorder="1">
      <alignment horizontal="center" vertical="center"/>
    </xf>
    <xf numFmtId="0" fontId="0" fillId="12" borderId="1" xfId="0" applyFill="1" applyBorder="1">
      <alignment horizontal="center" vertical="center"/>
    </xf>
    <xf numFmtId="0" fontId="48" fillId="2" borderId="0" xfId="0" applyFont="1">
      <alignment horizontal="center" vertical="center"/>
    </xf>
    <xf numFmtId="0" fontId="7" fillId="2" borderId="2" xfId="0" applyFont="1" applyBorder="1" applyAlignment="1">
      <alignment vertical="center" wrapText="1"/>
    </xf>
    <xf numFmtId="0" fontId="0" fillId="2" borderId="2" xfId="0" applyBorder="1" applyAlignment="1">
      <alignment vertical="center" wrapText="1"/>
    </xf>
    <xf numFmtId="0" fontId="0" fillId="32" borderId="2" xfId="0" applyFill="1" applyBorder="1">
      <alignment horizontal="center" vertical="center"/>
    </xf>
    <xf numFmtId="0" fontId="9" fillId="2" borderId="2" xfId="0" applyFont="1" applyBorder="1" applyAlignment="1">
      <alignment horizontal="left" vertical="center"/>
    </xf>
    <xf numFmtId="0" fontId="10" fillId="2" borderId="0" xfId="0" applyFont="1" applyAlignment="1">
      <alignment horizontal="right" vertical="center"/>
    </xf>
    <xf numFmtId="0" fontId="10" fillId="2" borderId="0" xfId="0" applyFont="1" applyAlignment="1">
      <alignment horizontal="center"/>
    </xf>
    <xf numFmtId="0" fontId="47" fillId="2" borderId="0" xfId="0" applyFont="1" applyAlignment="1">
      <alignment vertical="center" wrapText="1"/>
    </xf>
    <xf numFmtId="0" fontId="44" fillId="2" borderId="19" xfId="0" applyFont="1" applyBorder="1" applyAlignment="1">
      <alignment vertical="top" wrapText="1"/>
    </xf>
    <xf numFmtId="0" fontId="47" fillId="2" borderId="19" xfId="0" applyFont="1" applyBorder="1" applyAlignment="1">
      <alignment vertical="center"/>
    </xf>
    <xf numFmtId="0" fontId="47" fillId="2" borderId="19" xfId="0" applyFont="1" applyBorder="1" applyAlignment="1">
      <alignment vertical="center" wrapText="1"/>
    </xf>
    <xf numFmtId="0" fontId="18" fillId="12" borderId="38" xfId="0" applyFont="1" applyFill="1" applyBorder="1" applyAlignment="1">
      <alignment vertical="center" wrapText="1"/>
    </xf>
    <xf numFmtId="0" fontId="18" fillId="2" borderId="0" xfId="0" applyFont="1" applyAlignment="1">
      <alignment vertical="center" wrapText="1"/>
    </xf>
    <xf numFmtId="0" fontId="20" fillId="2" borderId="0" xfId="0" applyFont="1" applyAlignment="1">
      <alignment vertical="center" wrapText="1"/>
    </xf>
    <xf numFmtId="0" fontId="20" fillId="18" borderId="36" xfId="0" applyFont="1" applyFill="1" applyBorder="1" applyAlignment="1">
      <alignment vertical="center"/>
    </xf>
    <xf numFmtId="0" fontId="20" fillId="18" borderId="36" xfId="0" applyFont="1" applyFill="1" applyBorder="1">
      <alignment horizontal="center" vertical="center"/>
    </xf>
    <xf numFmtId="0" fontId="44" fillId="2" borderId="0" xfId="0" applyFont="1" applyAlignment="1">
      <alignment vertical="center" wrapText="1"/>
    </xf>
    <xf numFmtId="0" fontId="0" fillId="12" borderId="19" xfId="0" applyFill="1" applyBorder="1">
      <alignment horizontal="center" vertical="center"/>
    </xf>
    <xf numFmtId="0" fontId="0" fillId="12" borderId="2" xfId="0" applyFill="1" applyBorder="1">
      <alignment horizontal="center" vertical="center"/>
    </xf>
    <xf numFmtId="0" fontId="0" fillId="2" borderId="22" xfId="0" applyBorder="1">
      <alignment horizontal="center" vertical="center"/>
    </xf>
    <xf numFmtId="0" fontId="9" fillId="2" borderId="21" xfId="0" applyFont="1" applyBorder="1" applyAlignment="1">
      <alignment horizontal="center" wrapText="1"/>
    </xf>
    <xf numFmtId="0" fontId="0" fillId="2" borderId="2" xfId="0" applyBorder="1" applyAlignment="1">
      <alignment vertical="center"/>
    </xf>
    <xf numFmtId="0" fontId="7" fillId="12" borderId="22" xfId="0" applyFont="1" applyFill="1" applyBorder="1" applyAlignment="1">
      <alignment horizontal="center" vertical="center" wrapText="1"/>
    </xf>
    <xf numFmtId="0" fontId="28" fillId="12" borderId="30" xfId="0" applyFont="1" applyFill="1" applyBorder="1" applyAlignment="1">
      <alignment horizontal="left" vertical="center"/>
    </xf>
    <xf numFmtId="0" fontId="0" fillId="32" borderId="2" xfId="0" applyFill="1" applyBorder="1" applyAlignment="1">
      <alignment horizontal="center"/>
    </xf>
    <xf numFmtId="0" fontId="0" fillId="32" borderId="19" xfId="0" quotePrefix="1" applyFill="1" applyBorder="1" applyAlignment="1">
      <alignment horizontal="right" vertical="top"/>
    </xf>
    <xf numFmtId="0" fontId="0" fillId="31" borderId="1" xfId="0" applyFill="1" applyBorder="1">
      <alignment horizontal="center" vertical="center"/>
    </xf>
    <xf numFmtId="0" fontId="9" fillId="2" borderId="0" xfId="6" applyFont="1" applyAlignment="1">
      <alignment horizontal="right" vertical="center"/>
    </xf>
    <xf numFmtId="0" fontId="9" fillId="2" borderId="0" xfId="6" applyFont="1" applyAlignment="1">
      <alignment vertical="top" wrapText="1"/>
    </xf>
    <xf numFmtId="0" fontId="9" fillId="2" borderId="0" xfId="6" applyFont="1" applyAlignment="1">
      <alignment horizontal="right" vertical="top"/>
    </xf>
    <xf numFmtId="0" fontId="50" fillId="32" borderId="19" xfId="0" applyFont="1" applyFill="1" applyBorder="1" applyAlignment="1">
      <alignment horizontal="left" vertical="center"/>
    </xf>
    <xf numFmtId="0" fontId="31" fillId="2" borderId="19" xfId="0" applyFont="1" applyBorder="1" applyAlignment="1">
      <alignment horizontal="right" vertical="center" wrapText="1"/>
    </xf>
    <xf numFmtId="0" fontId="32" fillId="2" borderId="0" xfId="0" applyFont="1">
      <alignment horizontal="center" vertical="center"/>
    </xf>
    <xf numFmtId="0" fontId="0" fillId="6" borderId="5" xfId="0" applyFill="1" applyBorder="1">
      <alignment horizontal="center" vertical="center"/>
    </xf>
    <xf numFmtId="0" fontId="0" fillId="2" borderId="47" xfId="0" applyBorder="1">
      <alignment horizontal="center" vertical="center"/>
    </xf>
    <xf numFmtId="0" fontId="0" fillId="2" borderId="48" xfId="0" applyBorder="1">
      <alignment horizontal="center" vertical="center"/>
    </xf>
    <xf numFmtId="0" fontId="9" fillId="2" borderId="22" xfId="0" applyFont="1" applyBorder="1" applyAlignment="1">
      <alignment horizontal="center" vertical="center" wrapText="1"/>
    </xf>
    <xf numFmtId="0" fontId="0" fillId="31" borderId="49" xfId="0" applyFill="1" applyBorder="1">
      <alignment horizontal="center" vertical="center"/>
    </xf>
    <xf numFmtId="0" fontId="0" fillId="31" borderId="41" xfId="0" applyFill="1" applyBorder="1">
      <alignment horizontal="center" vertical="center"/>
    </xf>
    <xf numFmtId="0" fontId="0" fillId="31" borderId="42" xfId="0" applyFill="1" applyBorder="1">
      <alignment horizontal="center" vertical="center"/>
    </xf>
    <xf numFmtId="0" fontId="0" fillId="31" borderId="0" xfId="0" applyFill="1">
      <alignment horizontal="center" vertical="center"/>
    </xf>
    <xf numFmtId="0" fontId="0" fillId="2" borderId="19" xfId="0" applyBorder="1" applyAlignment="1">
      <alignment horizontal="center" vertical="center" wrapText="1"/>
    </xf>
    <xf numFmtId="0" fontId="0" fillId="2" borderId="2" xfId="0" applyBorder="1" applyAlignment="1">
      <alignment horizontal="center" vertical="center" wrapText="1"/>
    </xf>
    <xf numFmtId="0" fontId="9" fillId="2" borderId="20" xfId="0" applyFont="1" applyBorder="1" applyAlignment="1">
      <alignment horizontal="center" wrapText="1"/>
    </xf>
    <xf numFmtId="0" fontId="9" fillId="2" borderId="0" xfId="0" applyFont="1" applyAlignment="1">
      <alignment horizontal="center" vertical="center" wrapText="1"/>
    </xf>
    <xf numFmtId="0" fontId="31" fillId="2" borderId="2" xfId="0" applyFont="1" applyBorder="1" applyAlignment="1">
      <alignment horizontal="center" vertical="center" wrapText="1"/>
    </xf>
    <xf numFmtId="0" fontId="0" fillId="2" borderId="19" xfId="0" applyBorder="1" applyAlignment="1">
      <alignment horizontal="right" vertical="top"/>
    </xf>
    <xf numFmtId="0" fontId="0" fillId="6" borderId="1" xfId="0" applyFill="1" applyBorder="1" applyAlignment="1">
      <alignment horizontal="center" vertical="center" wrapText="1"/>
    </xf>
    <xf numFmtId="0" fontId="9" fillId="2" borderId="37" xfId="0" applyFont="1" applyBorder="1" applyAlignment="1">
      <alignment horizontal="center" vertical="center" wrapText="1"/>
    </xf>
    <xf numFmtId="0" fontId="0" fillId="0" borderId="0" xfId="0" applyFill="1">
      <alignment horizontal="center" vertical="center"/>
    </xf>
    <xf numFmtId="0" fontId="55" fillId="2" borderId="0" xfId="0" applyFont="1" applyAlignment="1">
      <alignment horizontal="left" vertical="center"/>
    </xf>
    <xf numFmtId="0" fontId="0" fillId="2" borderId="14" xfId="0" applyBorder="1" applyAlignment="1">
      <alignment horizontal="left" vertical="center"/>
    </xf>
    <xf numFmtId="0" fontId="41" fillId="2" borderId="0" xfId="0" applyFont="1">
      <alignment horizontal="center" vertical="center"/>
    </xf>
    <xf numFmtId="0" fontId="41" fillId="2" borderId="0" xfId="0" applyFont="1" applyAlignment="1">
      <alignment horizontal="left" vertical="center"/>
    </xf>
    <xf numFmtId="0" fontId="0" fillId="2" borderId="0" xfId="0" applyProtection="1">
      <alignment horizontal="center" vertical="center"/>
      <protection locked="0"/>
    </xf>
    <xf numFmtId="0" fontId="0" fillId="33" borderId="0" xfId="0" applyFill="1">
      <alignment horizontal="center" vertical="center"/>
    </xf>
    <xf numFmtId="0" fontId="31" fillId="2" borderId="19" xfId="0" applyFont="1" applyBorder="1" applyAlignment="1">
      <alignment horizontal="center" vertical="center" wrapText="1"/>
    </xf>
    <xf numFmtId="0" fontId="57" fillId="0" borderId="0" xfId="0" applyFont="1" applyFill="1" applyAlignment="1">
      <alignment horizontal="left" vertical="center" wrapText="1"/>
    </xf>
    <xf numFmtId="0" fontId="60" fillId="2" borderId="1" xfId="0" applyFont="1" applyBorder="1">
      <alignment horizontal="center" vertical="center"/>
    </xf>
    <xf numFmtId="0" fontId="61" fillId="2" borderId="0" xfId="0" applyFont="1">
      <alignment horizontal="center" vertical="center"/>
    </xf>
    <xf numFmtId="0" fontId="61" fillId="2" borderId="1" xfId="0" applyFont="1" applyBorder="1">
      <alignment horizontal="center" vertical="center"/>
    </xf>
    <xf numFmtId="0" fontId="60" fillId="2" borderId="22" xfId="0" applyFont="1" applyBorder="1">
      <alignment horizontal="center" vertical="center"/>
    </xf>
    <xf numFmtId="0" fontId="62" fillId="12" borderId="1" xfId="0" applyFont="1" applyFill="1" applyBorder="1" applyAlignment="1">
      <alignment horizontal="center" vertical="center" wrapText="1"/>
    </xf>
    <xf numFmtId="0" fontId="63" fillId="12" borderId="37" xfId="0" applyFont="1" applyFill="1" applyBorder="1" applyAlignment="1">
      <alignment horizontal="center" vertical="center" wrapText="1"/>
    </xf>
    <xf numFmtId="0" fontId="63" fillId="12" borderId="1" xfId="0" applyFont="1" applyFill="1" applyBorder="1" applyAlignment="1">
      <alignment horizontal="center" vertical="center" wrapText="1"/>
    </xf>
    <xf numFmtId="0" fontId="8" fillId="2" borderId="0" xfId="0" applyFont="1" applyAlignment="1">
      <alignment horizontal="left" vertical="top"/>
    </xf>
    <xf numFmtId="0" fontId="0" fillId="2" borderId="0" xfId="0" applyAlignment="1">
      <alignment horizontal="center" vertical="top"/>
    </xf>
    <xf numFmtId="0" fontId="66" fillId="2" borderId="0" xfId="0" applyFont="1" applyAlignment="1">
      <alignment horizontal="left" vertical="center"/>
    </xf>
    <xf numFmtId="0" fontId="2" fillId="2" borderId="0" xfId="0" applyFont="1">
      <alignment horizontal="center" vertical="center"/>
    </xf>
    <xf numFmtId="0" fontId="31" fillId="2" borderId="13" xfId="0" applyFont="1" applyBorder="1" applyAlignment="1">
      <alignment horizontal="center" vertical="center" wrapText="1"/>
    </xf>
    <xf numFmtId="0" fontId="31" fillId="2" borderId="43" xfId="0" applyFont="1" applyBorder="1">
      <alignment horizontal="center" vertical="center"/>
    </xf>
    <xf numFmtId="0" fontId="31" fillId="2" borderId="43" xfId="0" applyFont="1" applyBorder="1" applyAlignment="1">
      <alignment horizontal="left" vertical="center"/>
    </xf>
    <xf numFmtId="0" fontId="31" fillId="2" borderId="43" xfId="0" applyFont="1" applyBorder="1" applyAlignment="1">
      <alignment horizontal="center" vertical="center" wrapText="1"/>
    </xf>
    <xf numFmtId="0" fontId="31" fillId="2" borderId="14" xfId="0" applyFont="1" applyBorder="1" applyAlignment="1">
      <alignment horizontal="center" vertical="center" wrapText="1"/>
    </xf>
    <xf numFmtId="0" fontId="64" fillId="32" borderId="1" xfId="0" applyFont="1" applyFill="1" applyBorder="1" applyAlignment="1">
      <alignment horizontal="center" vertical="center" wrapText="1"/>
    </xf>
    <xf numFmtId="0" fontId="51" fillId="2" borderId="37" xfId="13" applyBorder="1" applyAlignment="1">
      <alignment horizontal="center" vertical="center" wrapText="1"/>
    </xf>
    <xf numFmtId="0" fontId="42" fillId="2" borderId="50" xfId="0" applyFont="1" applyBorder="1" applyAlignment="1">
      <alignment horizontal="left" vertical="center" wrapText="1"/>
    </xf>
    <xf numFmtId="0" fontId="67" fillId="12" borderId="17" xfId="0" applyFont="1" applyFill="1" applyBorder="1" applyAlignment="1">
      <alignment horizontal="centerContinuous" vertical="center" wrapText="1"/>
    </xf>
    <xf numFmtId="0" fontId="51" fillId="2" borderId="1" xfId="13" applyBorder="1" applyAlignment="1">
      <alignment horizontal="center" vertical="center" wrapText="1"/>
    </xf>
    <xf numFmtId="0" fontId="44" fillId="2" borderId="50" xfId="0" applyFont="1" applyBorder="1" applyAlignment="1">
      <alignment vertical="center" wrapText="1"/>
    </xf>
    <xf numFmtId="0" fontId="43" fillId="2" borderId="50" xfId="0" applyFont="1" applyBorder="1" applyAlignment="1">
      <alignment vertical="center" wrapText="1"/>
    </xf>
    <xf numFmtId="0" fontId="44" fillId="2" borderId="51" xfId="0" applyFont="1" applyBorder="1" applyAlignment="1">
      <alignment vertical="center" wrapText="1"/>
    </xf>
    <xf numFmtId="0" fontId="42" fillId="2" borderId="51" xfId="0" applyFont="1" applyBorder="1" applyAlignment="1">
      <alignment horizontal="left" vertical="center" wrapText="1"/>
    </xf>
    <xf numFmtId="0" fontId="44" fillId="2" borderId="52" xfId="0" applyFont="1" applyBorder="1" applyAlignment="1">
      <alignment vertical="center" wrapText="1"/>
    </xf>
    <xf numFmtId="0" fontId="32" fillId="2" borderId="0" xfId="0" applyFont="1" applyAlignment="1">
      <alignment horizontal="center" vertical="center" wrapText="1"/>
    </xf>
    <xf numFmtId="0" fontId="65" fillId="2" borderId="0" xfId="0" applyFont="1" applyAlignment="1">
      <alignment horizontal="left" vertical="center" wrapText="1"/>
    </xf>
    <xf numFmtId="0" fontId="42" fillId="2" borderId="52" xfId="0" applyFont="1" applyBorder="1" applyAlignment="1">
      <alignment horizontal="left" vertical="center" wrapText="1"/>
    </xf>
    <xf numFmtId="0" fontId="7" fillId="12" borderId="1" xfId="0" applyFont="1" applyFill="1" applyBorder="1" applyAlignment="1">
      <alignment horizontal="center" vertical="center" wrapText="1"/>
    </xf>
    <xf numFmtId="0" fontId="68" fillId="2" borderId="2" xfId="0" applyFont="1" applyBorder="1" applyAlignment="1">
      <alignment horizontal="center" vertical="top" wrapText="1"/>
    </xf>
    <xf numFmtId="0" fontId="31" fillId="2" borderId="0" xfId="0" applyFont="1" applyAlignment="1">
      <alignment vertical="center"/>
    </xf>
    <xf numFmtId="0" fontId="69" fillId="32" borderId="1" xfId="0" applyFont="1" applyFill="1" applyBorder="1" applyAlignment="1">
      <alignment horizontal="center" vertical="center" wrapText="1"/>
    </xf>
    <xf numFmtId="0" fontId="58" fillId="2" borderId="0" xfId="0" applyFont="1">
      <alignment horizontal="center" vertical="center"/>
    </xf>
    <xf numFmtId="0" fontId="58" fillId="2" borderId="0" xfId="0" applyFont="1" applyAlignment="1">
      <alignment horizontal="center" vertical="center" wrapText="1"/>
    </xf>
    <xf numFmtId="0" fontId="58" fillId="2" borderId="0" xfId="0" applyFont="1" applyAlignment="1">
      <alignment horizontal="left" vertical="center"/>
    </xf>
    <xf numFmtId="0" fontId="58" fillId="2" borderId="2" xfId="0" applyFont="1" applyBorder="1" applyAlignment="1">
      <alignment horizontal="center" vertical="center" wrapText="1"/>
    </xf>
    <xf numFmtId="0" fontId="41" fillId="2" borderId="2" xfId="0" applyFont="1" applyBorder="1" applyAlignment="1">
      <alignment horizontal="center" vertical="center" wrapText="1"/>
    </xf>
    <xf numFmtId="0" fontId="29" fillId="2" borderId="0" xfId="0" applyFont="1" applyAlignment="1">
      <alignment vertical="center"/>
    </xf>
    <xf numFmtId="0" fontId="58" fillId="2" borderId="0" xfId="0" applyFont="1" applyAlignment="1">
      <alignment horizontal="right" vertical="center"/>
    </xf>
    <xf numFmtId="0" fontId="58" fillId="2" borderId="19" xfId="0" applyFont="1" applyBorder="1" applyAlignment="1">
      <alignment horizontal="left" vertical="center"/>
    </xf>
    <xf numFmtId="0" fontId="70" fillId="2" borderId="0" xfId="0" applyFont="1" applyAlignment="1">
      <alignment vertical="center"/>
    </xf>
    <xf numFmtId="0" fontId="58" fillId="2" borderId="20" xfId="0" applyFont="1" applyBorder="1" applyAlignment="1">
      <alignment horizontal="left" vertical="center"/>
    </xf>
    <xf numFmtId="0" fontId="29" fillId="2" borderId="15" xfId="0" applyFont="1" applyBorder="1" applyAlignment="1">
      <alignment vertical="center"/>
    </xf>
    <xf numFmtId="0" fontId="29" fillId="2" borderId="15" xfId="0" applyFont="1" applyBorder="1">
      <alignment horizontal="center" vertical="center"/>
    </xf>
    <xf numFmtId="0" fontId="58" fillId="2" borderId="21" xfId="0" applyFont="1" applyBorder="1" applyAlignment="1">
      <alignment horizontal="center" vertical="center" wrapText="1"/>
    </xf>
    <xf numFmtId="0" fontId="71" fillId="14" borderId="29" xfId="0" applyFont="1" applyFill="1" applyBorder="1" applyAlignment="1">
      <alignment horizontal="center" vertical="center" wrapText="1"/>
    </xf>
    <xf numFmtId="0" fontId="72" fillId="12" borderId="29" xfId="0" applyFont="1" applyFill="1" applyBorder="1">
      <alignment horizontal="center" vertical="center"/>
    </xf>
    <xf numFmtId="0" fontId="64" fillId="32" borderId="16" xfId="0" applyFont="1" applyFill="1" applyBorder="1" applyAlignment="1">
      <alignment horizontal="center" vertical="center" wrapText="1"/>
    </xf>
    <xf numFmtId="0" fontId="0" fillId="2" borderId="43" xfId="0" applyBorder="1" applyAlignment="1">
      <alignment horizontal="center" vertical="center" wrapText="1"/>
    </xf>
    <xf numFmtId="0" fontId="55" fillId="2" borderId="0" xfId="0" applyFont="1" applyAlignment="1">
      <alignment horizontal="left" vertical="center" wrapText="1"/>
    </xf>
    <xf numFmtId="0" fontId="5" fillId="0" borderId="0" xfId="0" applyFont="1" applyFill="1">
      <alignment horizontal="center" vertical="center"/>
    </xf>
    <xf numFmtId="0" fontId="5" fillId="6" borderId="1" xfId="16">
      <alignment horizontal="center" vertical="center"/>
      <protection locked="0"/>
    </xf>
    <xf numFmtId="0" fontId="24" fillId="2" borderId="28" xfId="0" applyFont="1" applyBorder="1" applyAlignment="1">
      <alignment horizontal="center" vertical="center" wrapText="1"/>
    </xf>
    <xf numFmtId="0" fontId="25" fillId="2" borderId="30" xfId="0" applyFont="1" applyBorder="1" applyAlignment="1">
      <alignment horizontal="left" vertical="center" wrapText="1"/>
    </xf>
    <xf numFmtId="0" fontId="25" fillId="2" borderId="44" xfId="0" applyFont="1" applyBorder="1" applyAlignment="1">
      <alignment horizontal="left" vertical="center" wrapText="1"/>
    </xf>
    <xf numFmtId="0" fontId="7" fillId="2" borderId="0" xfId="0" applyFont="1" applyAlignment="1">
      <alignment vertical="center" wrapText="1"/>
    </xf>
    <xf numFmtId="0" fontId="75" fillId="2" borderId="19" xfId="13" applyFont="1" applyBorder="1" applyAlignment="1">
      <alignment horizontal="left" vertical="center"/>
    </xf>
    <xf numFmtId="0" fontId="76" fillId="2" borderId="0" xfId="0" applyFont="1">
      <alignment horizontal="center" vertical="center"/>
    </xf>
    <xf numFmtId="0" fontId="18" fillId="12" borderId="28" xfId="0" applyFont="1" applyFill="1" applyBorder="1" applyAlignment="1">
      <alignment horizontal="center" vertical="center" wrapText="1"/>
    </xf>
    <xf numFmtId="0" fontId="20" fillId="17" borderId="30" xfId="0" applyFont="1" applyFill="1" applyBorder="1" applyAlignment="1">
      <alignment horizontal="center" vertical="center" wrapText="1"/>
    </xf>
    <xf numFmtId="0" fontId="20" fillId="19" borderId="30" xfId="0" applyFont="1" applyFill="1" applyBorder="1" applyAlignment="1">
      <alignment horizontal="center" vertical="center" wrapText="1"/>
    </xf>
    <xf numFmtId="0" fontId="20" fillId="5" borderId="30" xfId="0" applyFont="1" applyFill="1" applyBorder="1" applyAlignment="1">
      <alignment horizontal="center" vertical="center" wrapText="1"/>
    </xf>
    <xf numFmtId="0" fontId="20" fillId="20" borderId="30" xfId="0" applyFont="1" applyFill="1" applyBorder="1" applyAlignment="1">
      <alignment horizontal="center" vertical="center" wrapText="1"/>
    </xf>
    <xf numFmtId="0" fontId="25" fillId="17" borderId="30" xfId="0" applyFont="1" applyFill="1" applyBorder="1" applyAlignment="1">
      <alignment horizontal="center" vertical="center" wrapText="1"/>
    </xf>
    <xf numFmtId="0" fontId="25" fillId="19" borderId="30" xfId="0" applyFont="1" applyFill="1" applyBorder="1" applyAlignment="1">
      <alignment horizontal="center" vertical="center" wrapText="1"/>
    </xf>
    <xf numFmtId="0" fontId="25" fillId="5" borderId="30" xfId="0" applyFont="1" applyFill="1" applyBorder="1" applyAlignment="1">
      <alignment horizontal="center" vertical="center" wrapText="1"/>
    </xf>
    <xf numFmtId="0" fontId="25" fillId="20" borderId="30" xfId="0" applyFont="1" applyFill="1" applyBorder="1" applyAlignment="1">
      <alignment horizontal="center" vertical="center" wrapText="1"/>
    </xf>
    <xf numFmtId="0" fontId="24" fillId="2" borderId="0" xfId="0" applyFont="1" applyAlignment="1">
      <alignment horizontal="center" vertical="center" wrapText="1"/>
    </xf>
    <xf numFmtId="0" fontId="25" fillId="2" borderId="0" xfId="0" applyFont="1" applyAlignment="1">
      <alignment horizontal="left" vertical="center" wrapText="1"/>
    </xf>
    <xf numFmtId="0" fontId="78" fillId="2" borderId="50" xfId="13" applyFont="1" applyBorder="1" applyAlignment="1">
      <alignment vertical="center" wrapText="1"/>
    </xf>
    <xf numFmtId="0" fontId="47" fillId="2" borderId="50" xfId="13" applyFont="1" applyBorder="1" applyAlignment="1">
      <alignment vertical="center" wrapText="1"/>
    </xf>
    <xf numFmtId="0" fontId="5" fillId="6" borderId="37" xfId="16" applyBorder="1">
      <alignment horizontal="center" vertical="center"/>
      <protection locked="0"/>
    </xf>
    <xf numFmtId="0" fontId="75" fillId="2" borderId="19" xfId="13" applyFont="1" applyBorder="1" applyAlignment="1">
      <alignment horizontal="left" vertical="top"/>
    </xf>
    <xf numFmtId="0" fontId="75" fillId="2" borderId="0" xfId="13" applyFont="1" applyBorder="1" applyAlignment="1">
      <alignment vertical="center" wrapText="1"/>
    </xf>
    <xf numFmtId="0" fontId="0" fillId="4" borderId="58" xfId="0" applyFill="1" applyBorder="1" applyAlignment="1">
      <alignment horizontal="left" vertical="center"/>
    </xf>
    <xf numFmtId="0" fontId="9" fillId="4" borderId="59" xfId="0" applyFont="1" applyFill="1" applyBorder="1" applyAlignment="1">
      <alignment vertical="center"/>
    </xf>
    <xf numFmtId="0" fontId="0" fillId="4" borderId="56" xfId="0" applyFill="1" applyBorder="1" applyAlignment="1">
      <alignment horizontal="left" vertical="center"/>
    </xf>
    <xf numFmtId="0" fontId="9" fillId="4" borderId="61" xfId="0" applyFont="1" applyFill="1" applyBorder="1" applyAlignment="1">
      <alignment vertical="center"/>
    </xf>
    <xf numFmtId="0" fontId="0" fillId="4" borderId="60" xfId="0" applyFill="1" applyBorder="1" applyAlignment="1">
      <alignment horizontal="left" vertical="center"/>
    </xf>
    <xf numFmtId="0" fontId="9" fillId="4" borderId="57" xfId="0" applyFont="1" applyFill="1" applyBorder="1" applyAlignment="1">
      <alignment horizontal="left" vertical="center"/>
    </xf>
    <xf numFmtId="0" fontId="9" fillId="4" borderId="59" xfId="0" applyFont="1" applyFill="1" applyBorder="1" applyAlignment="1">
      <alignment horizontal="left" vertical="center"/>
    </xf>
    <xf numFmtId="0" fontId="75" fillId="2" borderId="19" xfId="13" applyFont="1" applyBorder="1" applyAlignment="1">
      <alignment vertical="center"/>
    </xf>
    <xf numFmtId="0" fontId="9" fillId="4" borderId="62" xfId="0" applyFont="1" applyFill="1" applyBorder="1" applyAlignment="1">
      <alignment horizontal="left" vertical="center"/>
    </xf>
    <xf numFmtId="0" fontId="0" fillId="4" borderId="63" xfId="0" applyFill="1" applyBorder="1" applyAlignment="1">
      <alignment horizontal="left" vertical="center"/>
    </xf>
    <xf numFmtId="0" fontId="9" fillId="4" borderId="64" xfId="0" applyFont="1" applyFill="1" applyBorder="1" applyAlignment="1">
      <alignment vertical="center"/>
    </xf>
    <xf numFmtId="0" fontId="0" fillId="4" borderId="65" xfId="0" applyFill="1" applyBorder="1" applyAlignment="1">
      <alignment horizontal="left" vertical="center"/>
    </xf>
    <xf numFmtId="0" fontId="0" fillId="2" borderId="66" xfId="0" applyBorder="1">
      <alignment horizontal="center" vertical="center"/>
    </xf>
    <xf numFmtId="0" fontId="0" fillId="2" borderId="67" xfId="0" applyBorder="1">
      <alignment horizontal="center" vertical="center"/>
    </xf>
    <xf numFmtId="0" fontId="0" fillId="2" borderId="5" xfId="0" applyBorder="1">
      <alignment horizontal="center" vertical="center"/>
    </xf>
    <xf numFmtId="0" fontId="0" fillId="2" borderId="68" xfId="0" applyBorder="1">
      <alignment horizontal="center" vertical="center"/>
    </xf>
    <xf numFmtId="0" fontId="0" fillId="2" borderId="69" xfId="0" applyBorder="1">
      <alignment horizontal="center" vertical="center"/>
    </xf>
    <xf numFmtId="0" fontId="9" fillId="4" borderId="70" xfId="0" applyFont="1" applyFill="1" applyBorder="1" applyAlignment="1">
      <alignment horizontal="left" vertical="center"/>
    </xf>
    <xf numFmtId="0" fontId="0" fillId="4" borderId="71" xfId="0" applyFill="1" applyBorder="1" applyAlignment="1">
      <alignment horizontal="left" vertical="center"/>
    </xf>
    <xf numFmtId="0" fontId="0" fillId="2" borderId="72" xfId="0" applyBorder="1">
      <alignment horizontal="center" vertical="center"/>
    </xf>
    <xf numFmtId="0" fontId="26" fillId="16" borderId="73" xfId="0" applyFont="1" applyFill="1" applyBorder="1">
      <alignment horizontal="center" vertical="center"/>
    </xf>
    <xf numFmtId="0" fontId="26" fillId="16" borderId="63" xfId="0" applyFont="1" applyFill="1" applyBorder="1">
      <alignment horizontal="center" vertical="center"/>
    </xf>
    <xf numFmtId="0" fontId="9" fillId="4" borderId="70" xfId="0" applyFont="1" applyFill="1" applyBorder="1" applyAlignment="1">
      <alignment vertical="center"/>
    </xf>
    <xf numFmtId="0" fontId="0" fillId="34" borderId="74" xfId="0" applyFill="1" applyBorder="1">
      <alignment horizontal="center" vertical="center"/>
    </xf>
    <xf numFmtId="0" fontId="0" fillId="2" borderId="75" xfId="0" applyBorder="1">
      <alignment horizontal="center" vertical="center"/>
    </xf>
    <xf numFmtId="0" fontId="0" fillId="34" borderId="75" xfId="0" applyFill="1" applyBorder="1">
      <alignment horizontal="center" vertical="center"/>
    </xf>
    <xf numFmtId="0" fontId="9" fillId="4" borderId="66" xfId="0" applyFont="1" applyFill="1" applyBorder="1" applyAlignment="1">
      <alignment vertical="center"/>
    </xf>
    <xf numFmtId="0" fontId="0" fillId="4" borderId="4" xfId="0" applyFill="1" applyBorder="1" applyAlignment="1">
      <alignment horizontal="left" vertical="center"/>
    </xf>
    <xf numFmtId="0" fontId="0" fillId="34" borderId="76" xfId="0" applyFill="1" applyBorder="1">
      <alignment horizontal="center" vertical="center"/>
    </xf>
    <xf numFmtId="0" fontId="9" fillId="4" borderId="47" xfId="0" applyFont="1" applyFill="1" applyBorder="1" applyAlignment="1">
      <alignment horizontal="left" vertical="center"/>
    </xf>
    <xf numFmtId="0" fontId="0" fillId="4" borderId="10" xfId="0" applyFill="1" applyBorder="1" applyAlignment="1">
      <alignment horizontal="left" vertical="center"/>
    </xf>
    <xf numFmtId="0" fontId="19" fillId="16" borderId="0" xfId="0" applyFont="1" applyFill="1" applyAlignment="1">
      <alignment horizontal="left" vertical="center"/>
    </xf>
    <xf numFmtId="0" fontId="0" fillId="34" borderId="77" xfId="0" applyFill="1" applyBorder="1">
      <alignment horizontal="center" vertical="center"/>
    </xf>
    <xf numFmtId="0" fontId="9" fillId="26" borderId="0" xfId="0" applyFont="1" applyFill="1">
      <alignment horizontal="center" vertical="center"/>
    </xf>
    <xf numFmtId="0" fontId="9" fillId="26" borderId="0" xfId="0" applyFont="1" applyFill="1" applyAlignment="1">
      <alignment horizontal="left" vertical="center"/>
    </xf>
    <xf numFmtId="0" fontId="0" fillId="2" borderId="1" xfId="6" applyFont="1" applyBorder="1" applyAlignment="1">
      <alignment horizontal="left" vertical="center" wrapText="1"/>
    </xf>
    <xf numFmtId="0" fontId="0" fillId="2" borderId="1" xfId="0" applyBorder="1" applyAlignment="1">
      <alignment horizontal="left" vertical="center" wrapText="1"/>
    </xf>
    <xf numFmtId="0" fontId="6" fillId="12" borderId="4" xfId="1" applyFill="1" applyBorder="1" applyAlignment="1">
      <alignment vertical="center" wrapText="1"/>
    </xf>
    <xf numFmtId="0" fontId="77" fillId="2" borderId="6" xfId="0" applyFont="1" applyBorder="1" applyAlignment="1">
      <alignment horizontal="left" vertical="center"/>
    </xf>
    <xf numFmtId="0" fontId="82" fillId="2" borderId="0" xfId="0" applyFont="1">
      <alignment horizontal="center" vertical="center"/>
    </xf>
    <xf numFmtId="0" fontId="82" fillId="2" borderId="0" xfId="0" applyFont="1" applyAlignment="1">
      <alignment horizontal="center" vertical="top"/>
    </xf>
    <xf numFmtId="0" fontId="83" fillId="2" borderId="0" xfId="0" applyFont="1">
      <alignment horizontal="center" vertical="center"/>
    </xf>
    <xf numFmtId="0" fontId="0" fillId="2" borderId="25" xfId="6" applyFont="1" applyBorder="1" applyAlignment="1">
      <alignment horizontal="center" vertical="center"/>
    </xf>
    <xf numFmtId="0" fontId="3" fillId="2" borderId="4" xfId="0" applyFont="1" applyBorder="1" applyAlignment="1">
      <alignment horizontal="center" vertical="center" wrapText="1"/>
    </xf>
    <xf numFmtId="0" fontId="3" fillId="2" borderId="5" xfId="0" applyFont="1" applyBorder="1" applyAlignment="1">
      <alignment horizontal="center" vertical="center" wrapText="1"/>
    </xf>
    <xf numFmtId="0" fontId="12" fillId="2" borderId="0" xfId="0" applyFont="1" applyAlignment="1">
      <alignment vertical="center" wrapText="1"/>
    </xf>
    <xf numFmtId="0" fontId="14" fillId="2" borderId="0" xfId="0" applyFont="1" applyAlignment="1">
      <alignment horizontal="left" wrapText="1"/>
    </xf>
    <xf numFmtId="0" fontId="9" fillId="2" borderId="0" xfId="0" applyFont="1">
      <alignment horizontal="center" vertical="center"/>
    </xf>
    <xf numFmtId="0" fontId="17" fillId="12" borderId="0" xfId="1" applyFont="1" applyFill="1" applyAlignment="1">
      <alignment horizontal="center" vertical="center" wrapText="1"/>
    </xf>
    <xf numFmtId="0" fontId="9" fillId="2" borderId="1" xfId="6" applyFont="1" applyBorder="1" applyAlignment="1">
      <alignment horizontal="left" vertical="center" wrapText="1"/>
    </xf>
    <xf numFmtId="0" fontId="6" fillId="12" borderId="0" xfId="1" applyFill="1">
      <alignment horizontal="center"/>
    </xf>
    <xf numFmtId="0" fontId="6" fillId="12" borderId="0" xfId="1" applyFill="1" applyAlignment="1">
      <alignment horizontal="center" vertical="center"/>
    </xf>
    <xf numFmtId="0" fontId="0" fillId="2" borderId="0" xfId="0" applyAlignment="1">
      <alignment horizontal="left" vertical="top" wrapText="1"/>
    </xf>
    <xf numFmtId="0" fontId="44" fillId="0" borderId="0" xfId="1" applyFont="1" applyFill="1" applyAlignment="1">
      <alignment horizontal="left"/>
    </xf>
    <xf numFmtId="0" fontId="0" fillId="2" borderId="1" xfId="6" applyFont="1" applyBorder="1" applyAlignment="1">
      <alignment horizontal="left" vertical="center" wrapText="1"/>
    </xf>
    <xf numFmtId="0" fontId="5" fillId="2" borderId="1" xfId="6" applyBorder="1" applyAlignment="1">
      <alignment horizontal="left" vertical="center" wrapText="1"/>
    </xf>
    <xf numFmtId="0" fontId="13" fillId="2" borderId="0" xfId="0" applyFont="1" applyAlignment="1">
      <alignment horizontal="left" vertical="center" wrapText="1"/>
    </xf>
    <xf numFmtId="0" fontId="51" fillId="2" borderId="19" xfId="13" applyBorder="1" applyAlignment="1">
      <alignment horizontal="right" vertical="center"/>
    </xf>
    <xf numFmtId="0" fontId="10" fillId="2" borderId="19" xfId="0" applyFont="1" applyBorder="1" applyAlignment="1">
      <alignment horizontal="right" vertical="center" wrapText="1"/>
    </xf>
    <xf numFmtId="0" fontId="0" fillId="25" borderId="1" xfId="15" applyFont="1" applyBorder="1">
      <alignment horizontal="center" vertical="center" wrapText="1"/>
      <protection locked="0"/>
    </xf>
    <xf numFmtId="0" fontId="5" fillId="25" borderId="1" xfId="15" applyBorder="1">
      <alignment horizontal="center" vertical="center" wrapText="1"/>
      <protection locked="0"/>
    </xf>
    <xf numFmtId="0" fontId="27" fillId="2" borderId="19" xfId="0" applyFont="1" applyBorder="1">
      <alignment horizontal="center" vertical="center"/>
    </xf>
    <xf numFmtId="0" fontId="9" fillId="2" borderId="19" xfId="6" applyFont="1" applyBorder="1">
      <alignment horizontal="right" vertical="center" wrapText="1"/>
    </xf>
    <xf numFmtId="0" fontId="10" fillId="2" borderId="0" xfId="0" applyFont="1">
      <alignment horizontal="center" vertical="center"/>
    </xf>
    <xf numFmtId="0" fontId="5" fillId="25" borderId="37" xfId="15" applyBorder="1">
      <alignment horizontal="center" vertical="center" wrapText="1"/>
      <protection locked="0"/>
    </xf>
    <xf numFmtId="0" fontId="51" fillId="2" borderId="0" xfId="13" applyAlignment="1">
      <alignment horizontal="right" vertical="center"/>
    </xf>
    <xf numFmtId="0" fontId="0" fillId="4" borderId="1" xfId="0" applyFill="1" applyBorder="1" applyAlignment="1">
      <alignment horizontal="left" vertical="center" wrapText="1"/>
    </xf>
    <xf numFmtId="0" fontId="73" fillId="2" borderId="19" xfId="6" applyFont="1" applyBorder="1" applyAlignment="1">
      <alignment horizontal="left" vertical="center" wrapText="1"/>
    </xf>
    <xf numFmtId="0" fontId="73" fillId="2" borderId="2" xfId="6" applyFont="1" applyBorder="1" applyAlignment="1">
      <alignment horizontal="left" vertical="center" wrapText="1"/>
    </xf>
    <xf numFmtId="0" fontId="74" fillId="31" borderId="15" xfId="13" applyFont="1" applyFill="1" applyBorder="1" applyAlignment="1">
      <alignment horizontal="center" vertical="center"/>
    </xf>
    <xf numFmtId="0" fontId="74" fillId="31" borderId="21" xfId="13" applyFont="1" applyFill="1" applyBorder="1" applyAlignment="1">
      <alignment horizontal="center" vertical="center"/>
    </xf>
    <xf numFmtId="0" fontId="9" fillId="31" borderId="19" xfId="0" applyFont="1" applyFill="1" applyBorder="1" applyAlignment="1">
      <alignment horizontal="left" vertical="center"/>
    </xf>
    <xf numFmtId="0" fontId="9" fillId="31" borderId="0" xfId="0" applyFont="1" applyFill="1" applyAlignment="1">
      <alignment horizontal="left" vertical="center"/>
    </xf>
    <xf numFmtId="0" fontId="10" fillId="32" borderId="19" xfId="0" applyFont="1" applyFill="1" applyBorder="1" applyAlignment="1">
      <alignment horizontal="center" vertical="center" wrapText="1"/>
    </xf>
    <xf numFmtId="0" fontId="10" fillId="32" borderId="0" xfId="0" applyFont="1" applyFill="1" applyAlignment="1">
      <alignment horizontal="center" vertical="center" wrapText="1"/>
    </xf>
    <xf numFmtId="0" fontId="10" fillId="32" borderId="2" xfId="0" applyFont="1" applyFill="1" applyBorder="1" applyAlignment="1">
      <alignment horizontal="center" vertical="center" wrapText="1"/>
    </xf>
    <xf numFmtId="0" fontId="5" fillId="6" borderId="1" xfId="16">
      <alignment horizontal="center" vertical="center"/>
      <protection locked="0"/>
    </xf>
    <xf numFmtId="0" fontId="74" fillId="2" borderId="1" xfId="13" applyFont="1" applyBorder="1" applyAlignment="1">
      <alignment horizontal="center" vertical="center" wrapText="1"/>
    </xf>
    <xf numFmtId="0" fontId="0" fillId="2" borderId="19" xfId="0" applyBorder="1" applyAlignment="1">
      <alignment horizontal="right" vertical="center" wrapText="1"/>
    </xf>
    <xf numFmtId="0" fontId="0" fillId="2" borderId="0" xfId="0" applyAlignment="1">
      <alignment horizontal="right" vertical="center" wrapText="1"/>
    </xf>
    <xf numFmtId="0" fontId="0" fillId="2" borderId="2" xfId="0" applyBorder="1" applyAlignment="1">
      <alignment horizontal="right" vertical="center" wrapText="1"/>
    </xf>
    <xf numFmtId="0" fontId="5" fillId="25" borderId="13" xfId="15" applyBorder="1">
      <alignment horizontal="center" vertical="center" wrapText="1"/>
      <protection locked="0"/>
    </xf>
    <xf numFmtId="0" fontId="5" fillId="25" borderId="43" xfId="15" applyBorder="1">
      <alignment horizontal="center" vertical="center" wrapText="1"/>
      <protection locked="0"/>
    </xf>
    <xf numFmtId="0" fontId="5" fillId="25" borderId="14" xfId="15" applyBorder="1">
      <alignment horizontal="center" vertical="center" wrapText="1"/>
      <protection locked="0"/>
    </xf>
    <xf numFmtId="0" fontId="74" fillId="2" borderId="22" xfId="13" applyFont="1" applyBorder="1" applyAlignment="1">
      <alignment horizontal="center" vertical="center" wrapText="1"/>
    </xf>
    <xf numFmtId="0" fontId="9" fillId="31" borderId="2" xfId="0" applyFont="1" applyFill="1" applyBorder="1" applyAlignment="1">
      <alignment horizontal="left" vertical="center"/>
    </xf>
    <xf numFmtId="0" fontId="48" fillId="2" borderId="20" xfId="0" applyFont="1" applyBorder="1" applyAlignment="1">
      <alignment horizontal="right" vertical="center" wrapText="1"/>
    </xf>
    <xf numFmtId="0" fontId="48" fillId="2" borderId="15" xfId="0" applyFont="1" applyBorder="1" applyAlignment="1">
      <alignment horizontal="right" vertical="center" wrapText="1"/>
    </xf>
    <xf numFmtId="0" fontId="48" fillId="2" borderId="21" xfId="0" applyFont="1" applyBorder="1" applyAlignment="1">
      <alignment horizontal="right" vertical="center" wrapText="1"/>
    </xf>
    <xf numFmtId="0" fontId="52" fillId="12" borderId="1" xfId="13" applyFont="1" applyFill="1" applyBorder="1" applyAlignment="1">
      <alignment horizontal="center" vertical="center"/>
    </xf>
    <xf numFmtId="0" fontId="0" fillId="31" borderId="13" xfId="0" applyFill="1" applyBorder="1" applyAlignment="1">
      <alignment horizontal="right" vertical="center"/>
    </xf>
    <xf numFmtId="0" fontId="0" fillId="31" borderId="43" xfId="0" applyFill="1" applyBorder="1" applyAlignment="1">
      <alignment horizontal="right" vertical="center"/>
    </xf>
    <xf numFmtId="0" fontId="0" fillId="31" borderId="14" xfId="0" applyFill="1" applyBorder="1" applyAlignment="1">
      <alignment horizontal="right" vertical="center"/>
    </xf>
    <xf numFmtId="0" fontId="5" fillId="6" borderId="13" xfId="16" applyBorder="1">
      <alignment horizontal="center" vertical="center"/>
      <protection locked="0"/>
    </xf>
    <xf numFmtId="0" fontId="5" fillId="6" borderId="14" xfId="16" applyBorder="1">
      <alignment horizontal="center" vertical="center"/>
      <protection locked="0"/>
    </xf>
    <xf numFmtId="0" fontId="10" fillId="31" borderId="19" xfId="0" applyFont="1" applyFill="1" applyBorder="1" applyAlignment="1">
      <alignment horizontal="right" vertical="center"/>
    </xf>
    <xf numFmtId="0" fontId="10" fillId="31" borderId="0" xfId="0" applyFont="1" applyFill="1" applyAlignment="1">
      <alignment horizontal="right" vertical="center"/>
    </xf>
    <xf numFmtId="0" fontId="10" fillId="31" borderId="2" xfId="0" applyFont="1" applyFill="1" applyBorder="1" applyAlignment="1">
      <alignment horizontal="right" vertical="center"/>
    </xf>
    <xf numFmtId="0" fontId="9" fillId="32" borderId="19" xfId="0" applyFont="1" applyFill="1" applyBorder="1" applyAlignment="1">
      <alignment horizontal="left" vertical="center" wrapText="1"/>
    </xf>
    <xf numFmtId="0" fontId="9" fillId="32" borderId="0" xfId="0" applyFont="1" applyFill="1" applyAlignment="1">
      <alignment horizontal="left" vertical="center" wrapText="1"/>
    </xf>
    <xf numFmtId="0" fontId="9" fillId="32" borderId="2" xfId="0" applyFont="1" applyFill="1" applyBorder="1" applyAlignment="1">
      <alignment horizontal="left" vertical="center" wrapText="1"/>
    </xf>
    <xf numFmtId="0" fontId="10" fillId="2" borderId="15" xfId="0" applyFont="1" applyBorder="1">
      <alignment horizontal="center" vertical="center"/>
    </xf>
    <xf numFmtId="0" fontId="10" fillId="2" borderId="21" xfId="0" applyFont="1" applyBorder="1">
      <alignment horizontal="center" vertical="center"/>
    </xf>
    <xf numFmtId="0" fontId="0" fillId="32" borderId="0" xfId="0" applyFill="1" applyAlignment="1">
      <alignment horizontal="left"/>
    </xf>
    <xf numFmtId="0" fontId="0" fillId="32" borderId="2" xfId="0" applyFill="1" applyBorder="1" applyAlignment="1">
      <alignment horizontal="left"/>
    </xf>
    <xf numFmtId="0" fontId="9" fillId="2" borderId="19" xfId="0" applyFont="1" applyBorder="1" applyAlignment="1">
      <alignment horizontal="center"/>
    </xf>
    <xf numFmtId="0" fontId="9" fillId="2" borderId="20" xfId="0" applyFont="1" applyBorder="1" applyAlignment="1">
      <alignment horizontal="center"/>
    </xf>
    <xf numFmtId="0" fontId="6" fillId="12" borderId="19" xfId="1" applyFill="1" applyBorder="1" applyAlignment="1">
      <alignment horizontal="left" vertical="center"/>
    </xf>
    <xf numFmtId="0" fontId="6" fillId="12" borderId="0" xfId="1" applyFill="1" applyAlignment="1">
      <alignment horizontal="left" vertical="center"/>
    </xf>
    <xf numFmtId="0" fontId="6" fillId="12" borderId="2" xfId="1" applyFill="1" applyBorder="1" applyAlignment="1">
      <alignment horizontal="left" vertical="center"/>
    </xf>
    <xf numFmtId="0" fontId="9" fillId="12" borderId="1" xfId="0" applyFont="1" applyFill="1" applyBorder="1" applyAlignment="1">
      <alignment horizontal="center" vertical="center" wrapText="1"/>
    </xf>
    <xf numFmtId="0" fontId="9" fillId="31" borderId="39" xfId="0" applyFont="1" applyFill="1" applyBorder="1" applyAlignment="1">
      <alignment horizontal="left" vertical="center"/>
    </xf>
    <xf numFmtId="0" fontId="0" fillId="4" borderId="13" xfId="0" applyFill="1" applyBorder="1" applyAlignment="1">
      <alignment horizontal="left" vertical="center" wrapText="1"/>
    </xf>
    <xf numFmtId="0" fontId="0" fillId="4" borderId="43" xfId="0" applyFill="1" applyBorder="1" applyAlignment="1">
      <alignment horizontal="left" vertical="center" wrapText="1"/>
    </xf>
    <xf numFmtId="0" fontId="0" fillId="4" borderId="14" xfId="0" applyFill="1" applyBorder="1" applyAlignment="1">
      <alignment horizontal="left" vertical="center" wrapText="1"/>
    </xf>
    <xf numFmtId="0" fontId="9" fillId="2" borderId="2" xfId="0" applyFont="1" applyBorder="1" applyAlignment="1">
      <alignment horizontal="center"/>
    </xf>
    <xf numFmtId="0" fontId="9" fillId="2" borderId="21" xfId="0" applyFont="1" applyBorder="1" applyAlignment="1">
      <alignment horizontal="center"/>
    </xf>
    <xf numFmtId="0" fontId="0" fillId="31" borderId="1" xfId="0" applyFill="1" applyBorder="1">
      <alignment horizontal="center" vertical="center"/>
    </xf>
    <xf numFmtId="0" fontId="44" fillId="12" borderId="1" xfId="0" applyFont="1" applyFill="1" applyBorder="1" applyAlignment="1">
      <alignment horizontal="center" vertical="center" wrapText="1"/>
    </xf>
    <xf numFmtId="0" fontId="0" fillId="2" borderId="19" xfId="0" applyBorder="1" applyAlignment="1">
      <alignment horizontal="center" vertical="center" wrapText="1"/>
    </xf>
    <xf numFmtId="0" fontId="0" fillId="2" borderId="0" xfId="0" applyAlignment="1">
      <alignment horizontal="center" vertical="center" wrapText="1"/>
    </xf>
    <xf numFmtId="0" fontId="0" fillId="2" borderId="2" xfId="0" applyBorder="1" applyAlignment="1">
      <alignment horizontal="center" vertical="center" wrapText="1"/>
    </xf>
    <xf numFmtId="0" fontId="0" fillId="25" borderId="17" xfId="15" applyFont="1" applyBorder="1">
      <alignment horizontal="center" vertical="center" wrapText="1"/>
      <protection locked="0"/>
    </xf>
    <xf numFmtId="0" fontId="5" fillId="25" borderId="17" xfId="15" applyBorder="1">
      <alignment horizontal="center" vertical="center" wrapText="1"/>
      <protection locked="0"/>
    </xf>
    <xf numFmtId="0" fontId="5" fillId="25" borderId="18" xfId="15" applyBorder="1">
      <alignment horizontal="center" vertical="center" wrapText="1"/>
      <protection locked="0"/>
    </xf>
    <xf numFmtId="0" fontId="5" fillId="25" borderId="0" xfId="15" applyBorder="1">
      <alignment horizontal="center" vertical="center" wrapText="1"/>
      <protection locked="0"/>
    </xf>
    <xf numFmtId="0" fontId="5" fillId="25" borderId="2" xfId="15" applyBorder="1">
      <alignment horizontal="center" vertical="center" wrapText="1"/>
      <protection locked="0"/>
    </xf>
    <xf numFmtId="0" fontId="5" fillId="25" borderId="19" xfId="15" applyBorder="1">
      <alignment horizontal="center" vertical="center" wrapText="1"/>
      <protection locked="0"/>
    </xf>
    <xf numFmtId="0" fontId="5" fillId="25" borderId="20" xfId="15" applyBorder="1">
      <alignment horizontal="center" vertical="center" wrapText="1"/>
      <protection locked="0"/>
    </xf>
    <xf numFmtId="0" fontId="5" fillId="25" borderId="15" xfId="15" applyBorder="1">
      <alignment horizontal="center" vertical="center" wrapText="1"/>
      <protection locked="0"/>
    </xf>
    <xf numFmtId="0" fontId="5" fillId="25" borderId="21" xfId="15" applyBorder="1">
      <alignment horizontal="center" vertical="center" wrapText="1"/>
      <protection locked="0"/>
    </xf>
    <xf numFmtId="0" fontId="6" fillId="12" borderId="54" xfId="1" applyFill="1" applyBorder="1" applyAlignment="1">
      <alignment horizontal="left" vertical="top"/>
    </xf>
    <xf numFmtId="0" fontId="6" fillId="12" borderId="53" xfId="1" applyFill="1" applyBorder="1" applyAlignment="1">
      <alignment horizontal="left" vertical="top"/>
    </xf>
    <xf numFmtId="0" fontId="6" fillId="12" borderId="55" xfId="1" applyFill="1" applyBorder="1" applyAlignment="1">
      <alignment horizontal="left" vertical="top"/>
    </xf>
    <xf numFmtId="0" fontId="7" fillId="12" borderId="20" xfId="0" applyFont="1" applyFill="1" applyBorder="1" applyAlignment="1">
      <alignment horizontal="center" vertical="center" wrapText="1"/>
    </xf>
    <xf numFmtId="0" fontId="7" fillId="12" borderId="15" xfId="0" applyFont="1" applyFill="1" applyBorder="1" applyAlignment="1">
      <alignment horizontal="center" vertical="center" wrapText="1"/>
    </xf>
    <xf numFmtId="0" fontId="7" fillId="12" borderId="21" xfId="0" applyFont="1" applyFill="1" applyBorder="1" applyAlignment="1">
      <alignment horizontal="center" vertical="center" wrapText="1"/>
    </xf>
    <xf numFmtId="0" fontId="51" fillId="31" borderId="1" xfId="13" applyFill="1" applyBorder="1" applyAlignment="1">
      <alignment horizontal="center" vertical="center" wrapText="1"/>
    </xf>
    <xf numFmtId="0" fontId="10" fillId="2" borderId="15" xfId="0" applyFont="1" applyBorder="1" applyAlignment="1">
      <alignment horizontal="center" wrapText="1"/>
    </xf>
    <xf numFmtId="0" fontId="10" fillId="2" borderId="21" xfId="0" applyFont="1" applyBorder="1" applyAlignment="1">
      <alignment horizontal="center" wrapText="1"/>
    </xf>
    <xf numFmtId="0" fontId="0" fillId="31" borderId="19" xfId="0" applyFill="1" applyBorder="1" applyAlignment="1">
      <alignment horizontal="right" vertical="center" wrapText="1"/>
    </xf>
    <xf numFmtId="0" fontId="0" fillId="31" borderId="0" xfId="0" applyFill="1" applyAlignment="1">
      <alignment horizontal="right" vertical="center" wrapText="1"/>
    </xf>
    <xf numFmtId="0" fontId="0" fillId="31" borderId="2" xfId="0" applyFill="1" applyBorder="1" applyAlignment="1">
      <alignment horizontal="right" vertical="center" wrapText="1"/>
    </xf>
    <xf numFmtId="0" fontId="0" fillId="25" borderId="1" xfId="15" applyFont="1" applyBorder="1" applyAlignment="1">
      <alignment horizontal="left" vertical="center" wrapText="1"/>
      <protection locked="0"/>
    </xf>
    <xf numFmtId="0" fontId="5" fillId="25" borderId="1" xfId="15" applyBorder="1" applyAlignment="1">
      <alignment horizontal="left" vertical="center" wrapText="1"/>
      <protection locked="0"/>
    </xf>
    <xf numFmtId="0" fontId="0" fillId="25" borderId="13" xfId="15" applyFont="1" applyBorder="1" applyAlignment="1">
      <alignment horizontal="left" vertical="center" wrapText="1"/>
      <protection locked="0"/>
    </xf>
    <xf numFmtId="0" fontId="5" fillId="25" borderId="43" xfId="15" applyBorder="1" applyAlignment="1">
      <alignment horizontal="left" vertical="center" wrapText="1"/>
      <protection locked="0"/>
    </xf>
    <xf numFmtId="0" fontId="5" fillId="25" borderId="14" xfId="15" applyBorder="1" applyAlignment="1">
      <alignment horizontal="left" vertical="center" wrapText="1"/>
      <protection locked="0"/>
    </xf>
    <xf numFmtId="0" fontId="0" fillId="2" borderId="19" xfId="0" applyBorder="1" applyAlignment="1">
      <alignment horizontal="left" vertical="top" wrapText="1"/>
    </xf>
    <xf numFmtId="0" fontId="0" fillId="2" borderId="2" xfId="0" applyBorder="1" applyAlignment="1">
      <alignment horizontal="left" vertical="top" wrapText="1"/>
    </xf>
    <xf numFmtId="0" fontId="0" fillId="2" borderId="0" xfId="0" applyAlignment="1">
      <alignment horizontal="right" vertical="center"/>
    </xf>
    <xf numFmtId="0" fontId="0" fillId="25" borderId="13" xfId="15" applyFont="1" applyBorder="1">
      <alignment horizontal="center" vertical="center" wrapText="1"/>
      <protection locked="0"/>
    </xf>
    <xf numFmtId="0" fontId="0" fillId="2" borderId="19" xfId="0" applyBorder="1" applyAlignment="1">
      <alignment horizontal="right" vertical="center"/>
    </xf>
    <xf numFmtId="0" fontId="0" fillId="2" borderId="2" xfId="0" applyBorder="1" applyAlignment="1">
      <alignment horizontal="right" vertical="center"/>
    </xf>
    <xf numFmtId="0" fontId="0" fillId="2" borderId="0" xfId="0" applyAlignment="1">
      <alignment horizontal="center" vertical="top" wrapText="1"/>
    </xf>
    <xf numFmtId="0" fontId="0" fillId="2" borderId="2" xfId="0" applyBorder="1" applyAlignment="1">
      <alignment horizontal="center" vertical="top" wrapText="1"/>
    </xf>
    <xf numFmtId="0" fontId="27" fillId="2" borderId="0" xfId="0" applyFont="1">
      <alignment horizontal="center" vertical="center"/>
    </xf>
    <xf numFmtId="0" fontId="0" fillId="2" borderId="19" xfId="0" applyBorder="1" applyAlignment="1">
      <alignment horizontal="center" vertical="top" wrapText="1"/>
    </xf>
    <xf numFmtId="0" fontId="6" fillId="12" borderId="39" xfId="1" applyFill="1" applyBorder="1" applyAlignment="1">
      <alignment horizontal="left" vertical="center"/>
    </xf>
    <xf numFmtId="0" fontId="5" fillId="25" borderId="39" xfId="15" applyBorder="1">
      <alignment horizontal="center" vertical="center" wrapText="1"/>
      <protection locked="0"/>
    </xf>
    <xf numFmtId="14" fontId="5" fillId="25" borderId="13" xfId="15" applyNumberFormat="1" applyBorder="1">
      <alignment horizontal="center" vertical="center" wrapText="1"/>
      <protection locked="0"/>
    </xf>
    <xf numFmtId="14" fontId="5" fillId="25" borderId="43" xfId="15" applyNumberFormat="1" applyBorder="1">
      <alignment horizontal="center" vertical="center" wrapText="1"/>
      <protection locked="0"/>
    </xf>
    <xf numFmtId="14" fontId="5" fillId="25" borderId="14" xfId="15" applyNumberFormat="1" applyBorder="1">
      <alignment horizontal="center" vertical="center" wrapText="1"/>
      <protection locked="0"/>
    </xf>
    <xf numFmtId="0" fontId="6" fillId="12" borderId="15" xfId="1" applyFill="1" applyBorder="1" applyAlignment="1">
      <alignment horizontal="right" vertical="center"/>
    </xf>
    <xf numFmtId="0" fontId="6" fillId="12" borderId="21" xfId="1" applyFill="1" applyBorder="1" applyAlignment="1">
      <alignment horizontal="right" vertical="center"/>
    </xf>
    <xf numFmtId="0" fontId="6" fillId="12" borderId="19" xfId="1" applyFill="1" applyBorder="1" applyAlignment="1">
      <alignment horizontal="left" vertical="center" wrapText="1"/>
    </xf>
    <xf numFmtId="0" fontId="9" fillId="12" borderId="14" xfId="0" applyFont="1" applyFill="1" applyBorder="1" applyAlignment="1">
      <alignment horizontal="center" vertical="center" wrapText="1"/>
    </xf>
    <xf numFmtId="0" fontId="0" fillId="32" borderId="19" xfId="0" applyFill="1" applyBorder="1" applyAlignment="1">
      <alignment horizontal="left" vertical="center" wrapText="1"/>
    </xf>
    <xf numFmtId="0" fontId="0" fillId="32" borderId="0" xfId="0" applyFill="1" applyAlignment="1">
      <alignment horizontal="left" vertical="center" wrapText="1"/>
    </xf>
    <xf numFmtId="0" fontId="0" fillId="32" borderId="2" xfId="0" applyFill="1" applyBorder="1" applyAlignment="1">
      <alignment horizontal="left" vertical="center" wrapText="1"/>
    </xf>
    <xf numFmtId="0" fontId="27" fillId="2" borderId="2" xfId="0" applyFont="1" applyBorder="1">
      <alignment horizontal="center" vertical="center"/>
    </xf>
    <xf numFmtId="0" fontId="0" fillId="2" borderId="19" xfId="0" applyBorder="1">
      <alignment horizontal="center" vertical="center"/>
    </xf>
    <xf numFmtId="0" fontId="0" fillId="2" borderId="39" xfId="0" applyBorder="1">
      <alignment horizontal="center" vertical="center"/>
    </xf>
    <xf numFmtId="0" fontId="10" fillId="2" borderId="19" xfId="0" applyFont="1" applyBorder="1" applyAlignment="1">
      <alignment horizontal="center" vertical="top" wrapText="1"/>
    </xf>
    <xf numFmtId="0" fontId="10" fillId="2" borderId="39" xfId="0" applyFont="1" applyBorder="1" applyAlignment="1">
      <alignment horizontal="center" vertical="top" wrapText="1"/>
    </xf>
    <xf numFmtId="0" fontId="7" fillId="12" borderId="1" xfId="0" applyFont="1" applyFill="1" applyBorder="1" applyAlignment="1">
      <alignment horizontal="center" vertical="center" wrapText="1"/>
    </xf>
    <xf numFmtId="0" fontId="10" fillId="2" borderId="19" xfId="0" applyFont="1" applyBorder="1" applyAlignment="1">
      <alignment horizontal="left" vertical="center" wrapText="1"/>
    </xf>
    <xf numFmtId="0" fontId="10" fillId="2" borderId="0" xfId="0" applyFont="1" applyAlignment="1">
      <alignment horizontal="left" vertical="center" wrapText="1"/>
    </xf>
    <xf numFmtId="0" fontId="0" fillId="2" borderId="16" xfId="0" applyBorder="1" applyAlignment="1">
      <alignment horizontal="left" vertical="center" wrapText="1"/>
    </xf>
    <xf numFmtId="0" fontId="0" fillId="2" borderId="17" xfId="0" applyBorder="1" applyAlignment="1">
      <alignment horizontal="left" vertical="center" wrapText="1"/>
    </xf>
    <xf numFmtId="0" fontId="80" fillId="31" borderId="13" xfId="13" applyFont="1" applyFill="1" applyBorder="1" applyAlignment="1">
      <alignment horizontal="center" vertical="center" wrapText="1"/>
    </xf>
    <xf numFmtId="0" fontId="80" fillId="31" borderId="43" xfId="13" applyFont="1" applyFill="1" applyBorder="1" applyAlignment="1">
      <alignment horizontal="center" vertical="center" wrapText="1"/>
    </xf>
    <xf numFmtId="0" fontId="80" fillId="31" borderId="14" xfId="13" applyFont="1" applyFill="1" applyBorder="1" applyAlignment="1">
      <alignment horizontal="center" vertical="center" wrapText="1"/>
    </xf>
    <xf numFmtId="0" fontId="53" fillId="2" borderId="19" xfId="0" applyFont="1" applyBorder="1" applyAlignment="1">
      <alignment horizontal="left" vertical="center" wrapText="1"/>
    </xf>
    <xf numFmtId="0" fontId="53" fillId="2" borderId="0" xfId="0" applyFont="1" applyAlignment="1">
      <alignment horizontal="left" vertical="center" wrapText="1"/>
    </xf>
    <xf numFmtId="0" fontId="5" fillId="25" borderId="16" xfId="15" applyBorder="1">
      <alignment horizontal="center" vertical="center" wrapText="1"/>
      <protection locked="0"/>
    </xf>
    <xf numFmtId="0" fontId="0" fillId="32" borderId="19" xfId="0" applyFill="1" applyBorder="1" applyAlignment="1">
      <alignment horizontal="left" wrapText="1"/>
    </xf>
    <xf numFmtId="0" fontId="0" fillId="32" borderId="0" xfId="0" applyFill="1" applyAlignment="1">
      <alignment horizontal="left" wrapText="1"/>
    </xf>
    <xf numFmtId="0" fontId="0" fillId="32" borderId="2" xfId="0" applyFill="1" applyBorder="1" applyAlignment="1">
      <alignment horizontal="left" wrapText="1"/>
    </xf>
    <xf numFmtId="0" fontId="0" fillId="2" borderId="15" xfId="0" applyBorder="1">
      <alignment horizontal="center" vertical="center"/>
    </xf>
    <xf numFmtId="0" fontId="59" fillId="2" borderId="19" xfId="0" applyFont="1" applyBorder="1" applyAlignment="1">
      <alignment horizontal="center" vertical="top" wrapText="1"/>
    </xf>
    <xf numFmtId="0" fontId="59" fillId="2" borderId="0" xfId="0" applyFont="1" applyAlignment="1">
      <alignment horizontal="center" vertical="top" wrapText="1"/>
    </xf>
    <xf numFmtId="0" fontId="59" fillId="2" borderId="2" xfId="0" applyFont="1" applyBorder="1" applyAlignment="1">
      <alignment horizontal="center" vertical="top" wrapText="1"/>
    </xf>
    <xf numFmtId="0" fontId="60" fillId="2" borderId="19" xfId="0" applyFont="1" applyBorder="1" applyAlignment="1">
      <alignment horizontal="right" vertical="top" wrapText="1"/>
    </xf>
    <xf numFmtId="0" fontId="60" fillId="2" borderId="0" xfId="0" applyFont="1" applyAlignment="1">
      <alignment horizontal="right" vertical="top" wrapText="1"/>
    </xf>
    <xf numFmtId="0" fontId="34" fillId="4" borderId="19" xfId="0" applyFont="1" applyFill="1" applyBorder="1" applyAlignment="1">
      <alignment horizontal="left" vertical="center" wrapText="1"/>
    </xf>
    <xf numFmtId="0" fontId="34" fillId="4" borderId="0" xfId="0" applyFont="1" applyFill="1" applyAlignment="1">
      <alignment horizontal="left" vertical="center" wrapText="1"/>
    </xf>
    <xf numFmtId="0" fontId="34" fillId="4" borderId="2" xfId="0" applyFont="1" applyFill="1" applyBorder="1" applyAlignment="1">
      <alignment horizontal="left" vertical="center" wrapText="1"/>
    </xf>
    <xf numFmtId="0" fontId="61" fillId="2" borderId="13" xfId="0" applyFont="1" applyBorder="1" applyAlignment="1">
      <alignment horizontal="center" vertical="center" wrapText="1"/>
    </xf>
    <xf numFmtId="0" fontId="61" fillId="2" borderId="43" xfId="0" applyFont="1" applyBorder="1" applyAlignment="1">
      <alignment horizontal="center" vertical="center" wrapText="1"/>
    </xf>
    <xf numFmtId="0" fontId="61" fillId="2" borderId="14" xfId="0" applyFont="1" applyBorder="1" applyAlignment="1">
      <alignment horizontal="center" vertical="center" wrapText="1"/>
    </xf>
    <xf numFmtId="0" fontId="31" fillId="2" borderId="19" xfId="0" applyFont="1" applyBorder="1" applyAlignment="1">
      <alignment horizontal="left" vertical="center" wrapText="1"/>
    </xf>
    <xf numFmtId="0" fontId="31" fillId="2" borderId="0" xfId="0" applyFont="1" applyAlignment="1">
      <alignment horizontal="left" vertical="center" wrapText="1"/>
    </xf>
    <xf numFmtId="0" fontId="31" fillId="2" borderId="2" xfId="0" applyFont="1" applyBorder="1" applyAlignment="1">
      <alignment horizontal="left" vertical="center" wrapText="1"/>
    </xf>
    <xf numFmtId="0" fontId="31" fillId="2" borderId="19" xfId="0" applyFont="1" applyBorder="1" applyAlignment="1">
      <alignment horizontal="left" vertical="top" wrapText="1"/>
    </xf>
    <xf numFmtId="0" fontId="31" fillId="2" borderId="0" xfId="0" applyFont="1" applyAlignment="1">
      <alignment horizontal="left" vertical="top" wrapText="1"/>
    </xf>
    <xf numFmtId="0" fontId="31" fillId="2" borderId="2" xfId="0" applyFont="1" applyBorder="1" applyAlignment="1">
      <alignment horizontal="left" vertical="top" wrapText="1"/>
    </xf>
    <xf numFmtId="0" fontId="61" fillId="2" borderId="13" xfId="0" applyFont="1" applyBorder="1" applyAlignment="1">
      <alignment horizontal="left" vertical="center" wrapText="1"/>
    </xf>
    <xf numFmtId="0" fontId="61" fillId="2" borderId="43" xfId="0" applyFont="1" applyBorder="1" applyAlignment="1">
      <alignment horizontal="left" vertical="center" wrapText="1"/>
    </xf>
    <xf numFmtId="0" fontId="61" fillId="2" borderId="14" xfId="0" applyFont="1" applyBorder="1" applyAlignment="1">
      <alignment horizontal="left" vertical="center" wrapText="1"/>
    </xf>
    <xf numFmtId="0" fontId="63" fillId="12" borderId="13" xfId="0" applyFont="1" applyFill="1" applyBorder="1" applyAlignment="1">
      <alignment horizontal="left" vertical="center" wrapText="1"/>
    </xf>
    <xf numFmtId="0" fontId="63" fillId="12" borderId="43" xfId="0" applyFont="1" applyFill="1" applyBorder="1" applyAlignment="1">
      <alignment horizontal="left" vertical="center" wrapText="1"/>
    </xf>
    <xf numFmtId="0" fontId="63" fillId="12" borderId="14" xfId="0" applyFont="1" applyFill="1" applyBorder="1" applyAlignment="1">
      <alignment horizontal="left" vertical="center" wrapText="1"/>
    </xf>
    <xf numFmtId="0" fontId="6" fillId="12" borderId="16" xfId="1" applyFill="1" applyBorder="1" applyAlignment="1">
      <alignment horizontal="left" vertical="center" wrapText="1"/>
    </xf>
    <xf numFmtId="0" fontId="6" fillId="12" borderId="17" xfId="1" applyFill="1" applyBorder="1" applyAlignment="1">
      <alignment horizontal="left" vertical="center" wrapText="1"/>
    </xf>
    <xf numFmtId="0" fontId="30" fillId="2" borderId="0" xfId="6" applyFont="1" applyAlignment="1">
      <alignment horizontal="center" vertical="center" wrapText="1"/>
    </xf>
    <xf numFmtId="0" fontId="30" fillId="2" borderId="2" xfId="6" applyFont="1" applyBorder="1" applyAlignment="1">
      <alignment horizontal="center" vertical="center" wrapText="1"/>
    </xf>
    <xf numFmtId="0" fontId="81" fillId="2" borderId="0" xfId="0" applyFont="1" applyAlignment="1">
      <alignment horizontal="left" vertical="top" wrapText="1"/>
    </xf>
    <xf numFmtId="0" fontId="33" fillId="2" borderId="0" xfId="0" applyFont="1" applyAlignment="1">
      <alignment horizontal="left" vertical="center"/>
    </xf>
    <xf numFmtId="166" fontId="33" fillId="2" borderId="0" xfId="0" applyNumberFormat="1" applyFont="1" applyAlignment="1">
      <alignment horizontal="left" vertical="center"/>
    </xf>
    <xf numFmtId="0" fontId="69" fillId="32" borderId="13" xfId="0" applyFont="1" applyFill="1" applyBorder="1" applyAlignment="1">
      <alignment horizontal="center" vertical="center" wrapText="1"/>
    </xf>
    <xf numFmtId="0" fontId="69" fillId="32" borderId="43" xfId="0" applyFont="1" applyFill="1" applyBorder="1" applyAlignment="1">
      <alignment horizontal="center" vertical="center" wrapText="1"/>
    </xf>
    <xf numFmtId="0" fontId="69" fillId="32" borderId="14" xfId="0" applyFont="1" applyFill="1" applyBorder="1" applyAlignment="1">
      <alignment horizontal="center" vertical="center" wrapText="1"/>
    </xf>
    <xf numFmtId="0" fontId="63" fillId="12" borderId="13" xfId="0" applyFont="1" applyFill="1" applyBorder="1" applyAlignment="1">
      <alignment horizontal="center" vertical="center" wrapText="1"/>
    </xf>
    <xf numFmtId="0" fontId="63" fillId="12" borderId="43" xfId="0" applyFont="1" applyFill="1" applyBorder="1" applyAlignment="1">
      <alignment horizontal="center" vertical="center" wrapText="1"/>
    </xf>
    <xf numFmtId="0" fontId="63" fillId="12" borderId="14" xfId="0" applyFont="1" applyFill="1" applyBorder="1" applyAlignment="1">
      <alignment horizontal="center" vertical="center" wrapText="1"/>
    </xf>
    <xf numFmtId="0" fontId="31" fillId="2" borderId="22" xfId="0" applyFont="1" applyBorder="1" applyAlignment="1">
      <alignment horizontal="left" vertical="center" wrapText="1"/>
    </xf>
    <xf numFmtId="0" fontId="31" fillId="2" borderId="20" xfId="0" applyFont="1" applyBorder="1" applyAlignment="1">
      <alignment horizontal="left" vertical="center" wrapText="1"/>
    </xf>
    <xf numFmtId="0" fontId="31" fillId="2" borderId="15" xfId="0" applyFont="1" applyBorder="1" applyAlignment="1">
      <alignment horizontal="left" vertical="center" wrapText="1"/>
    </xf>
    <xf numFmtId="0" fontId="31" fillId="2" borderId="21" xfId="0" applyFont="1" applyBorder="1" applyAlignment="1">
      <alignment horizontal="left" vertical="center" wrapText="1"/>
    </xf>
    <xf numFmtId="0" fontId="58" fillId="2" borderId="19" xfId="0" applyFont="1" applyBorder="1" applyAlignment="1">
      <alignment horizontal="left" vertical="center" wrapText="1"/>
    </xf>
    <xf numFmtId="0" fontId="58" fillId="2" borderId="0" xfId="0" applyFont="1" applyAlignment="1">
      <alignment horizontal="left" vertical="center" wrapText="1"/>
    </xf>
    <xf numFmtId="0" fontId="58" fillId="2" borderId="2" xfId="0" applyFont="1" applyBorder="1" applyAlignment="1">
      <alignment horizontal="left" vertical="center" wrapText="1"/>
    </xf>
    <xf numFmtId="0" fontId="54" fillId="2" borderId="19" xfId="0" applyFont="1" applyBorder="1" applyAlignment="1">
      <alignment horizontal="center"/>
    </xf>
    <xf numFmtId="0" fontId="54" fillId="2" borderId="0" xfId="0" applyFont="1" applyAlignment="1">
      <alignment horizontal="center"/>
    </xf>
    <xf numFmtId="0" fontId="54" fillId="2" borderId="2" xfId="0" applyFont="1" applyBorder="1" applyAlignment="1">
      <alignment horizontal="center"/>
    </xf>
    <xf numFmtId="0" fontId="56" fillId="12" borderId="19" xfId="0" applyFont="1" applyFill="1" applyBorder="1" applyAlignment="1">
      <alignment horizontal="center" vertical="center" wrapText="1"/>
    </xf>
    <xf numFmtId="0" fontId="56" fillId="12" borderId="0" xfId="0" applyFont="1" applyFill="1" applyAlignment="1">
      <alignment horizontal="center" vertical="center" wrapText="1"/>
    </xf>
    <xf numFmtId="0" fontId="56" fillId="12" borderId="2" xfId="0" applyFont="1" applyFill="1" applyBorder="1" applyAlignment="1">
      <alignment horizontal="center" vertical="center" wrapText="1"/>
    </xf>
    <xf numFmtId="0" fontId="6" fillId="12" borderId="0" xfId="1" applyFill="1" applyAlignment="1">
      <alignment horizontal="right" vertical="center"/>
    </xf>
    <xf numFmtId="0" fontId="6" fillId="12" borderId="3" xfId="1" applyFill="1" applyBorder="1" applyAlignment="1">
      <alignment horizontal="left" vertical="center" wrapText="1"/>
    </xf>
    <xf numFmtId="0" fontId="6" fillId="12" borderId="4" xfId="1" applyFill="1" applyBorder="1" applyAlignment="1">
      <alignment horizontal="left" vertical="center" wrapText="1"/>
    </xf>
    <xf numFmtId="0" fontId="19" fillId="16" borderId="0" xfId="0" applyFont="1" applyFill="1">
      <alignment horizontal="center" vertical="center"/>
    </xf>
    <xf numFmtId="0" fontId="9" fillId="3" borderId="0" xfId="0" applyFont="1" applyFill="1">
      <alignment horizontal="center" vertical="center"/>
    </xf>
    <xf numFmtId="0" fontId="0" fillId="2" borderId="1" xfId="0" applyBorder="1" applyAlignment="1">
      <alignment horizontal="center" vertical="center" wrapText="1"/>
    </xf>
    <xf numFmtId="0" fontId="10" fillId="6" borderId="13"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1" xfId="0" applyFont="1" applyFill="1" applyBorder="1">
      <alignment horizontal="center" vertical="center"/>
    </xf>
    <xf numFmtId="0" fontId="20" fillId="2" borderId="0" xfId="0" applyFont="1" applyAlignment="1">
      <alignment horizontal="left" vertical="center" wrapText="1"/>
    </xf>
    <xf numFmtId="0" fontId="36" fillId="12" borderId="36" xfId="0" applyFont="1" applyFill="1" applyBorder="1">
      <alignment horizontal="center" vertical="center"/>
    </xf>
    <xf numFmtId="0" fontId="36" fillId="12" borderId="0" xfId="0" applyFont="1" applyFill="1">
      <alignment horizontal="center" vertical="center"/>
    </xf>
    <xf numFmtId="0" fontId="18" fillId="2" borderId="0" xfId="0" applyFont="1" applyAlignment="1">
      <alignment horizontal="center" vertical="center" wrapText="1"/>
    </xf>
  </cellXfs>
  <cellStyles count="17">
    <cellStyle name="Blank Normal" xfId="7" xr:uid="{4B81B5D1-217F-4D8B-AAC0-94BD0111EDD5}"/>
    <cellStyle name="Dropdowns" xfId="14" xr:uid="{D53BC3A9-DB61-4620-AE6D-A83CBAC88AC7}"/>
    <cellStyle name="Free text answers" xfId="10" xr:uid="{8C0C7AF3-9850-49C7-A21A-E0219ED5B373}"/>
    <cellStyle name="Good" xfId="12" builtinId="26"/>
    <cellStyle name="Hyperlink" xfId="13" builtinId="8"/>
    <cellStyle name="Instructions" xfId="8" xr:uid="{8B47A8E5-A762-4499-8C7B-024B7E94860F}"/>
    <cellStyle name="Normal" xfId="0" builtinId="0" customBuiltin="1"/>
    <cellStyle name="Output" xfId="9" builtinId="21" customBuiltin="1"/>
    <cellStyle name="SS answers" xfId="2" xr:uid="{984C8CB7-5894-4B51-8C80-B83D2795AC70}"/>
    <cellStyle name="ss headings" xfId="1" xr:uid="{008CDE68-C3D1-47CE-BB33-F2456760048B}"/>
    <cellStyle name="ss HINT / TIP" xfId="3" xr:uid="{8F77C057-48A4-488D-87E0-F2B0CD2A3601}"/>
    <cellStyle name="ss OPTIONAL Q" xfId="4" xr:uid="{156E9530-EF3B-49D8-87D0-594800F47C71}"/>
    <cellStyle name="ss QUESTION TEXT" xfId="6" xr:uid="{127DB61A-9532-411C-AFD5-F143CAD903DC}"/>
    <cellStyle name="ss sub heading" xfId="11" xr:uid="{0C83590F-9A12-44D9-A9F2-C70F5554067D}"/>
    <cellStyle name="ss SUBQUESTION" xfId="5" xr:uid="{26DCFD63-61E4-4F17-AAF8-6E3120046F00}"/>
    <cellStyle name="TEXTBOX ENTRY" xfId="15" xr:uid="{5AB64CBC-752D-4F1C-BD9C-01AFF9B81A1E}"/>
    <cellStyle name="Yes/No" xfId="16" xr:uid="{C2B6A94A-2E37-48CA-919D-C7C332564012}"/>
  </cellStyles>
  <dxfs count="4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5" tint="-0.24994659260841701"/>
      </font>
      <fill>
        <patternFill>
          <bgColor theme="5" tint="0.59996337778862885"/>
        </patternFill>
      </fill>
    </dxf>
    <dxf>
      <font>
        <color theme="5" tint="-0.24994659260841701"/>
      </font>
      <fill>
        <patternFill>
          <bgColor theme="5" tint="0.79998168889431442"/>
        </patternFill>
      </fill>
    </dxf>
    <dxf>
      <font>
        <color rgb="FF006100"/>
      </font>
      <fill>
        <patternFill>
          <bgColor rgb="FFC6EFCE"/>
        </patternFill>
      </fill>
    </dxf>
    <dxf>
      <font>
        <color rgb="FF9C0006"/>
      </font>
      <fill>
        <patternFill>
          <bgColor rgb="FFFFC7CE"/>
        </patternFill>
      </fill>
    </dxf>
    <dxf>
      <font>
        <color theme="5" tint="-0.24994659260841701"/>
      </font>
      <fill>
        <patternFill>
          <bgColor theme="5" tint="0.59996337778862885"/>
        </patternFill>
      </fill>
    </dxf>
    <dxf>
      <font>
        <color theme="5" tint="-0.24994659260841701"/>
      </font>
      <fill>
        <patternFill>
          <bgColor theme="5" tint="0.79998168889431442"/>
        </patternFill>
      </fill>
    </dxf>
    <dxf>
      <font>
        <color rgb="FF9C5700"/>
      </font>
      <fill>
        <patternFill>
          <bgColor theme="7" tint="0.79998168889431442"/>
        </patternFill>
      </fill>
    </dxf>
    <dxf>
      <fill>
        <patternFill>
          <bgColor theme="0"/>
        </patternFill>
      </fill>
    </dxf>
    <dxf>
      <font>
        <color rgb="FF006100"/>
      </font>
      <fill>
        <patternFill>
          <bgColor rgb="FFC6EFCE"/>
        </patternFill>
      </fill>
    </dxf>
    <dxf>
      <font>
        <color rgb="FF9C5700"/>
      </font>
      <fill>
        <patternFill>
          <bgColor theme="7" tint="0.79998168889431442"/>
        </patternFill>
      </fill>
    </dxf>
    <dxf>
      <font>
        <color rgb="FF9C0006"/>
      </font>
      <fill>
        <patternFill>
          <bgColor rgb="FFFFC7CE"/>
        </patternFill>
      </fill>
    </dxf>
    <dxf>
      <font>
        <color theme="5" tint="-0.24994659260841701"/>
      </font>
      <fill>
        <patternFill>
          <bgColor theme="5" tint="0.79998168889431442"/>
        </patternFill>
      </fill>
    </dxf>
    <dxf>
      <font>
        <color theme="5" tint="-0.24994659260841701"/>
      </font>
      <fill>
        <patternFill>
          <bgColor theme="5" tint="0.59996337778862885"/>
        </patternFill>
      </fill>
    </dxf>
    <dxf>
      <font>
        <color rgb="FF006100"/>
      </font>
      <fill>
        <patternFill>
          <bgColor rgb="FFC6EFCE"/>
        </patternFill>
      </fill>
    </dxf>
    <dxf>
      <font>
        <color rgb="FF9C5700"/>
      </font>
      <fill>
        <patternFill>
          <bgColor theme="7" tint="0.79998168889431442"/>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59996337778862885"/>
        </patternFill>
      </fill>
    </dxf>
    <dxf>
      <font>
        <color theme="5" tint="-0.24994659260841701"/>
      </font>
      <fill>
        <patternFill>
          <bgColor theme="5" tint="0.79998168889431442"/>
        </patternFill>
      </fill>
    </dxf>
    <dxf>
      <font>
        <color rgb="FF9C57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theme="7" tint="0.79998168889431442"/>
        </patternFill>
      </fill>
    </dxf>
    <dxf>
      <font>
        <color theme="5" tint="-0.24994659260841701"/>
      </font>
      <fill>
        <patternFill>
          <bgColor theme="5" tint="0.79998168889431442"/>
        </patternFill>
      </fill>
    </dxf>
    <dxf>
      <font>
        <color theme="5" tint="-0.24994659260841701"/>
      </font>
      <fill>
        <patternFill>
          <bgColor theme="5"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theme="7" tint="0.79998168889431442"/>
        </patternFill>
      </fill>
    </dxf>
    <dxf>
      <font>
        <color theme="5" tint="-0.24994659260841701"/>
      </font>
      <fill>
        <patternFill>
          <bgColor theme="5" tint="0.79998168889431442"/>
        </patternFill>
      </fill>
    </dxf>
    <dxf>
      <font>
        <color theme="5" tint="-0.24994659260841701"/>
      </font>
      <fill>
        <patternFill>
          <bgColor theme="5" tint="0.59996337778862885"/>
        </patternFill>
      </fill>
    </dxf>
    <dxf>
      <font>
        <color rgb="FF9C0006"/>
      </font>
      <fill>
        <patternFill>
          <bgColor rgb="FFFFC7CE"/>
        </patternFill>
      </fill>
    </dxf>
    <dxf>
      <font>
        <color theme="5" tint="-0.24994659260841701"/>
      </font>
      <fill>
        <patternFill>
          <bgColor theme="5" tint="0.79998168889431442"/>
        </patternFill>
      </fill>
    </dxf>
    <dxf>
      <font>
        <color theme="5" tint="-0.24994659260841701"/>
      </font>
      <fill>
        <patternFill>
          <bgColor theme="5" tint="0.59996337778862885"/>
        </patternFill>
      </fill>
    </dxf>
    <dxf>
      <font>
        <color rgb="FF006100"/>
      </font>
      <fill>
        <patternFill>
          <bgColor rgb="FFC6EFCE"/>
        </patternFill>
      </fill>
    </dxf>
    <dxf>
      <font>
        <color rgb="FF9C5700"/>
      </font>
      <fill>
        <patternFill>
          <bgColor theme="7" tint="0.79998168889431442"/>
        </patternFill>
      </fill>
    </dxf>
    <dxf>
      <font>
        <color rgb="FF9C5700"/>
      </font>
      <fill>
        <patternFill>
          <bgColor theme="7" tint="0.79998168889431442"/>
        </patternFill>
      </fill>
    </dxf>
    <dxf>
      <font>
        <color theme="5" tint="-0.24994659260841701"/>
      </font>
      <fill>
        <patternFill>
          <bgColor theme="5" tint="0.79998168889431442"/>
        </patternFill>
      </fill>
    </dxf>
    <dxf>
      <font>
        <color rgb="FF9C0006"/>
      </font>
      <fill>
        <patternFill>
          <bgColor rgb="FFFFC7CE"/>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theme="7" tint="0.79998168889431442"/>
        </patternFill>
      </fill>
    </dxf>
    <dxf>
      <font>
        <color theme="5" tint="-0.24994659260841701"/>
      </font>
      <fill>
        <patternFill>
          <bgColor theme="5" tint="0.79998168889431442"/>
        </patternFill>
      </fill>
    </dxf>
    <dxf>
      <font>
        <color theme="5" tint="-0.24994659260841701"/>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theme="5" tint="-0.24994659260841701"/>
      </font>
      <fill>
        <patternFill>
          <bgColor theme="5" tint="0.59996337778862885"/>
        </patternFill>
      </fill>
    </dxf>
    <dxf>
      <font>
        <color rgb="FF006100"/>
      </font>
      <fill>
        <patternFill>
          <bgColor rgb="FFC6EFCE"/>
        </patternFill>
      </fill>
    </dxf>
    <dxf>
      <font>
        <color rgb="FF9C5700"/>
      </font>
      <fill>
        <patternFill>
          <bgColor theme="7" tint="0.79998168889431442"/>
        </patternFill>
      </fill>
    </dxf>
    <dxf>
      <font>
        <color rgb="FF9C0006"/>
      </font>
      <fill>
        <patternFill>
          <bgColor rgb="FFFFC7CE"/>
        </patternFill>
      </fill>
    </dxf>
    <dxf>
      <font>
        <color rgb="FF9C5700"/>
      </font>
      <fill>
        <patternFill>
          <bgColor theme="7" tint="0.79998168889431442"/>
        </patternFill>
      </fill>
    </dxf>
    <dxf>
      <font>
        <color theme="5" tint="-0.24994659260841701"/>
      </font>
      <fill>
        <patternFill>
          <bgColor theme="5" tint="0.59996337778862885"/>
        </patternFill>
      </fill>
    </dxf>
    <dxf>
      <font>
        <color theme="5" tint="-0.24994659260841701"/>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5" tint="-0.24994659260841701"/>
      </font>
      <fill>
        <patternFill>
          <bgColor theme="5" tint="0.79998168889431442"/>
        </patternFill>
      </fill>
    </dxf>
    <dxf>
      <font>
        <color theme="5" tint="-0.24994659260841701"/>
      </font>
      <fill>
        <patternFill>
          <bgColor theme="5" tint="0.59996337778862885"/>
        </patternFill>
      </fill>
    </dxf>
    <dxf>
      <font>
        <color rgb="FF9C5700"/>
      </font>
      <fill>
        <patternFill>
          <bgColor theme="7" tint="0.79998168889431442"/>
        </patternFill>
      </fill>
    </dxf>
    <dxf>
      <font>
        <color rgb="FF9C0006"/>
      </font>
      <fill>
        <patternFill>
          <bgColor rgb="FFFFC7CE"/>
        </patternFill>
      </fill>
    </dxf>
    <dxf>
      <font>
        <color rgb="FF006100"/>
      </font>
      <fill>
        <patternFill>
          <bgColor rgb="FFC6EFCE"/>
        </patternFill>
      </fill>
    </dxf>
    <dxf>
      <font>
        <color rgb="FF9C5700"/>
      </font>
      <fill>
        <patternFill>
          <bgColor theme="7" tint="0.79998168889431442"/>
        </patternFill>
      </fill>
    </dxf>
    <dxf>
      <fill>
        <patternFill>
          <bgColor theme="0"/>
        </patternFill>
      </fill>
    </dxf>
    <dxf>
      <font>
        <color theme="5" tint="-0.24994659260841701"/>
      </font>
      <fill>
        <patternFill>
          <bgColor theme="5" tint="0.79998168889431442"/>
        </patternFill>
      </fill>
    </dxf>
    <dxf>
      <font>
        <color rgb="FF9C0006"/>
      </font>
      <fill>
        <patternFill>
          <bgColor rgb="FFFFC7CE"/>
        </patternFill>
      </fill>
    </dxf>
    <dxf>
      <font>
        <color theme="5" tint="-0.24994659260841701"/>
      </font>
      <fill>
        <patternFill>
          <bgColor theme="5" tint="0.59996337778862885"/>
        </patternFill>
      </fill>
    </dxf>
    <dxf>
      <font>
        <color rgb="FF006100"/>
      </font>
      <fill>
        <patternFill>
          <bgColor rgb="FFC6EFCE"/>
        </patternFill>
      </fill>
    </dxf>
    <dxf>
      <font>
        <color rgb="FF9C5700"/>
      </font>
      <fill>
        <patternFill>
          <bgColor theme="7" tint="0.79998168889431442"/>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theme="7" tint="0.79998168889431442"/>
        </patternFill>
      </fill>
    </dxf>
    <dxf>
      <font>
        <color rgb="FF9C0006"/>
      </font>
      <fill>
        <patternFill>
          <bgColor rgb="FFFFC7CE"/>
        </patternFill>
      </fill>
    </dxf>
    <dxf>
      <fill>
        <patternFill>
          <bgColor theme="0"/>
        </patternFill>
      </fill>
    </dxf>
    <dxf>
      <font>
        <color rgb="FF006100"/>
      </font>
      <fill>
        <patternFill>
          <bgColor rgb="FFC6EFCE"/>
        </patternFill>
      </fill>
    </dxf>
    <dxf>
      <font>
        <color theme="5" tint="-0.24994659260841701"/>
      </font>
      <fill>
        <patternFill>
          <bgColor theme="5" tint="0.79998168889431442"/>
        </patternFill>
      </fill>
    </dxf>
    <dxf>
      <font>
        <color rgb="FF9C0006"/>
      </font>
      <fill>
        <patternFill>
          <bgColor rgb="FFFFC7CE"/>
        </patternFill>
      </fill>
    </dxf>
    <dxf>
      <font>
        <color rgb="FF006100"/>
      </font>
      <fill>
        <patternFill>
          <bgColor rgb="FFC6EFCE"/>
        </patternFill>
      </fill>
    </dxf>
    <dxf>
      <font>
        <color rgb="FF9C5700"/>
      </font>
      <fill>
        <patternFill>
          <bgColor theme="7" tint="0.79998168889431442"/>
        </patternFill>
      </fill>
    </dxf>
    <dxf>
      <font>
        <color theme="5" tint="-0.24994659260841701"/>
      </font>
      <fill>
        <patternFill>
          <bgColor theme="5" tint="0.79998168889431442"/>
        </patternFill>
      </fill>
    </dxf>
    <dxf>
      <font>
        <color theme="5" tint="-0.24994659260841701"/>
      </font>
      <fill>
        <patternFill>
          <bgColor theme="5" tint="0.59996337778862885"/>
        </patternFill>
      </fill>
    </dxf>
    <dxf>
      <font>
        <color rgb="FF9C0006"/>
      </font>
      <fill>
        <patternFill>
          <bgColor rgb="FFFFC7CE"/>
        </patternFill>
      </fill>
    </dxf>
    <dxf>
      <font>
        <color theme="5" tint="-0.24994659260841701"/>
      </font>
      <fill>
        <patternFill>
          <bgColor theme="5" tint="0.79998168889431442"/>
        </patternFill>
      </fill>
    </dxf>
    <dxf>
      <font>
        <color rgb="FF9C5700"/>
      </font>
      <fill>
        <patternFill>
          <bgColor theme="7" tint="0.79998168889431442"/>
        </patternFill>
      </fill>
    </dxf>
    <dxf>
      <font>
        <color rgb="FF006100"/>
      </font>
      <fill>
        <patternFill>
          <bgColor rgb="FFC6EFCE"/>
        </patternFill>
      </fill>
    </dxf>
    <dxf>
      <fill>
        <patternFill>
          <bgColor theme="0"/>
        </patternFill>
      </fill>
    </dxf>
    <dxf>
      <font>
        <color rgb="FF9C0006"/>
      </font>
      <fill>
        <patternFill>
          <bgColor rgb="FFFFC7CE"/>
        </patternFill>
      </fill>
    </dxf>
    <dxf>
      <font>
        <color theme="5" tint="-0.24994659260841701"/>
      </font>
      <fill>
        <patternFill>
          <bgColor theme="5" tint="0.59996337778862885"/>
        </patternFill>
      </fill>
    </dxf>
    <dxf>
      <font>
        <color theme="5" tint="-0.24994659260841701"/>
      </font>
      <fill>
        <patternFill>
          <bgColor theme="5" tint="0.79998168889431442"/>
        </patternFill>
      </fill>
    </dxf>
    <dxf>
      <font>
        <color rgb="FF9C57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theme="7" tint="0.79998168889431442"/>
        </patternFill>
      </fill>
    </dxf>
    <dxf>
      <font>
        <color theme="5" tint="-0.24994659260841701"/>
      </font>
      <fill>
        <patternFill>
          <bgColor theme="5" tint="0.79998168889431442"/>
        </patternFill>
      </fill>
    </dxf>
    <dxf>
      <font>
        <color theme="5" tint="-0.24994659260841701"/>
      </font>
      <fill>
        <patternFill>
          <bgColor theme="5" tint="0.59996337778862885"/>
        </patternFill>
      </fill>
    </dxf>
    <dxf>
      <font>
        <color rgb="FF9C0006"/>
      </font>
      <fill>
        <patternFill>
          <bgColor rgb="FFFFC7CE"/>
        </patternFill>
      </fill>
    </dxf>
    <dxf>
      <font>
        <color theme="5" tint="-0.24994659260841701"/>
      </font>
      <fill>
        <patternFill>
          <bgColor theme="5" tint="0.59996337778862885"/>
        </patternFill>
      </fill>
    </dxf>
    <dxf>
      <font>
        <color rgb="FF9C5700"/>
      </font>
      <fill>
        <patternFill>
          <bgColor theme="7" tint="0.79998168889431442"/>
        </patternFill>
      </fill>
    </dxf>
    <dxf>
      <font>
        <color theme="5" tint="-0.24994659260841701"/>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theme="7" tint="0.79998168889431442"/>
        </patternFill>
      </fill>
    </dxf>
    <dxf>
      <font>
        <color theme="5" tint="-0.24994659260841701"/>
      </font>
      <fill>
        <patternFill>
          <bgColor theme="5" tint="0.59996337778862885"/>
        </patternFill>
      </fill>
    </dxf>
    <dxf>
      <font>
        <color theme="5" tint="-0.24994659260841701"/>
      </font>
      <fill>
        <patternFill>
          <bgColor theme="5" tint="0.79998168889431442"/>
        </patternFill>
      </fill>
    </dxf>
    <dxf>
      <font>
        <color theme="5" tint="-0.24994659260841701"/>
      </font>
      <fill>
        <patternFill>
          <bgColor theme="5" tint="0.79998168889431442"/>
        </patternFill>
      </fill>
    </dxf>
    <dxf>
      <font>
        <color rgb="FF9C0006"/>
      </font>
      <fill>
        <patternFill>
          <bgColor rgb="FFFFC7CE"/>
        </patternFill>
      </fill>
    </dxf>
    <dxf>
      <fill>
        <patternFill>
          <bgColor theme="0"/>
        </patternFill>
      </fill>
    </dxf>
    <dxf>
      <font>
        <color rgb="FF006100"/>
      </font>
      <fill>
        <patternFill>
          <bgColor rgb="FFC6EFCE"/>
        </patternFill>
      </fill>
    </dxf>
    <dxf>
      <font>
        <color rgb="FF9C5700"/>
      </font>
      <fill>
        <patternFill>
          <bgColor theme="7" tint="0.79998168889431442"/>
        </patternFill>
      </fill>
    </dxf>
    <dxf>
      <font>
        <color rgb="FF9C0006"/>
      </font>
      <fill>
        <patternFill>
          <bgColor rgb="FFFFC7CE"/>
        </patternFill>
      </fill>
    </dxf>
    <dxf>
      <font>
        <color rgb="FF006100"/>
      </font>
      <fill>
        <patternFill>
          <bgColor rgb="FFC6EFCE"/>
        </patternFill>
      </fill>
    </dxf>
    <dxf>
      <font>
        <color rgb="FF9C5700"/>
      </font>
      <fill>
        <patternFill>
          <bgColor theme="7" tint="0.79998168889431442"/>
        </patternFill>
      </fill>
    </dxf>
    <dxf>
      <font>
        <color theme="5" tint="-0.24994659260841701"/>
      </font>
      <fill>
        <patternFill>
          <bgColor theme="5" tint="0.79998168889431442"/>
        </patternFill>
      </fill>
    </dxf>
    <dxf>
      <font>
        <color theme="5" tint="-0.24994659260841701"/>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5700"/>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color theme="5" tint="-0.24994659260841701"/>
      </font>
      <fill>
        <patternFill>
          <bgColor theme="5" tint="0.79998168889431442"/>
        </patternFill>
      </fill>
    </dxf>
    <dxf>
      <font>
        <color rgb="FF9C0006"/>
      </font>
      <fill>
        <patternFill>
          <bgColor rgb="FFFFC7CE"/>
        </patternFill>
      </fill>
    </dxf>
    <dxf>
      <font>
        <color rgb="FF9C5700"/>
      </font>
      <fill>
        <patternFill>
          <bgColor theme="7" tint="0.79998168889431442"/>
        </patternFill>
      </fill>
    </dxf>
    <dxf>
      <font>
        <color rgb="FF006100"/>
      </font>
      <fill>
        <patternFill>
          <bgColor rgb="FFC6EFCE"/>
        </patternFill>
      </fill>
    </dxf>
    <dxf>
      <font>
        <color rgb="FF006100"/>
      </font>
      <fill>
        <patternFill>
          <bgColor rgb="FFC6EFCE"/>
        </patternFill>
      </fill>
    </dxf>
    <dxf>
      <font>
        <color rgb="FF9C5700"/>
      </font>
      <fill>
        <patternFill>
          <bgColor theme="7" tint="0.79998168889431442"/>
        </patternFill>
      </fill>
    </dxf>
    <dxf>
      <font>
        <color theme="5" tint="-0.24994659260841701"/>
      </font>
      <fill>
        <patternFill>
          <bgColor theme="5" tint="0.79998168889431442"/>
        </patternFill>
      </fill>
    </dxf>
    <dxf>
      <font>
        <color rgb="FF9C0006"/>
      </font>
      <fill>
        <patternFill>
          <bgColor rgb="FFFFC7CE"/>
        </patternFill>
      </fill>
    </dxf>
    <dxf>
      <font>
        <color theme="5" tint="-0.24994659260841701"/>
      </font>
      <fill>
        <patternFill>
          <bgColor theme="5" tint="0.59996337778862885"/>
        </patternFill>
      </fill>
    </dxf>
    <dxf>
      <font>
        <color rgb="FF9C5700"/>
      </font>
      <fill>
        <patternFill>
          <bgColor theme="7" tint="0.79998168889431442"/>
        </patternFill>
      </fill>
    </dxf>
    <dxf>
      <font>
        <color rgb="FF006100"/>
      </font>
      <fill>
        <patternFill>
          <bgColor rgb="FFC6EFCE"/>
        </patternFill>
      </fill>
    </dxf>
    <dxf>
      <fill>
        <patternFill>
          <bgColor theme="0"/>
        </patternFill>
      </fill>
    </dxf>
    <dxf>
      <font>
        <color theme="5" tint="-0.24994659260841701"/>
      </font>
      <fill>
        <patternFill>
          <bgColor theme="5" tint="0.79998168889431442"/>
        </patternFill>
      </fill>
    </dxf>
    <dxf>
      <font>
        <color rgb="FF9C0006"/>
      </font>
      <fill>
        <patternFill>
          <bgColor rgb="FFFFC7CE"/>
        </patternFill>
      </fill>
    </dxf>
    <dxf>
      <font>
        <color rgb="FF006100"/>
      </font>
      <fill>
        <patternFill>
          <bgColor rgb="FFC6EFCE"/>
        </patternFill>
      </fill>
    </dxf>
    <dxf>
      <font>
        <color rgb="FF9C5700"/>
      </font>
      <fill>
        <patternFill>
          <bgColor theme="7" tint="0.79998168889431442"/>
        </patternFill>
      </fill>
    </dxf>
    <dxf>
      <font>
        <color theme="5" tint="-0.24994659260841701"/>
      </font>
      <fill>
        <patternFill>
          <bgColor theme="5" tint="0.79998168889431442"/>
        </patternFill>
      </fill>
    </dxf>
    <dxf>
      <font>
        <color theme="5" tint="-0.24994659260841701"/>
      </font>
      <fill>
        <patternFill>
          <bgColor theme="5" tint="0.59996337778862885"/>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5700"/>
      </font>
      <fill>
        <patternFill>
          <bgColor theme="7" tint="0.79998168889431442"/>
        </patternFill>
      </fill>
    </dxf>
    <dxf>
      <font>
        <color rgb="FF006100"/>
      </font>
      <fill>
        <patternFill>
          <bgColor rgb="FFC6EFCE"/>
        </patternFill>
      </fill>
    </dxf>
    <dxf>
      <fill>
        <patternFill>
          <bgColor theme="0"/>
        </patternFill>
      </fill>
    </dxf>
    <dxf>
      <font>
        <color rgb="FF006100"/>
      </font>
      <fill>
        <patternFill>
          <bgColor rgb="FFC6EFCE"/>
        </patternFill>
      </fill>
    </dxf>
    <dxf>
      <font>
        <color rgb="FF9C5700"/>
      </font>
      <fill>
        <patternFill>
          <bgColor theme="7" tint="0.79998168889431442"/>
        </patternFill>
      </fill>
    </dxf>
    <dxf>
      <font>
        <color theme="5" tint="-0.24994659260841701"/>
      </font>
      <fill>
        <patternFill>
          <bgColor theme="5" tint="0.79998168889431442"/>
        </patternFill>
      </fill>
    </dxf>
    <dxf>
      <font>
        <color theme="5" tint="-0.24994659260841701"/>
      </font>
      <fill>
        <patternFill>
          <bgColor theme="5" tint="0.59996337778862885"/>
        </patternFill>
      </fill>
    </dxf>
    <dxf>
      <font>
        <color rgb="FF9C0006"/>
      </font>
      <fill>
        <patternFill>
          <bgColor rgb="FFFFC7CE"/>
        </patternFill>
      </fill>
    </dxf>
    <dxf>
      <font>
        <b val="0"/>
        <i/>
      </font>
      <fill>
        <patternFill>
          <bgColor theme="7" tint="0.59996337778862885"/>
        </patternFill>
      </fill>
    </dxf>
    <dxf>
      <fill>
        <patternFill>
          <bgColor theme="0"/>
        </patternFill>
      </fill>
    </dxf>
    <dxf>
      <font>
        <color rgb="FFC00000"/>
      </font>
      <fill>
        <patternFill>
          <bgColor rgb="FFFF8585"/>
        </patternFill>
      </fill>
    </dxf>
    <dxf>
      <font>
        <color theme="5" tint="-0.499984740745262"/>
      </font>
      <fill>
        <patternFill>
          <bgColor rgb="FFF19455"/>
        </patternFill>
      </fill>
    </dxf>
    <dxf>
      <font>
        <color theme="7" tint="-0.499984740745262"/>
      </font>
      <fill>
        <patternFill>
          <bgColor rgb="FFFFDC79"/>
        </patternFill>
      </fill>
    </dxf>
    <dxf>
      <font>
        <color rgb="FF797600"/>
      </font>
      <fill>
        <patternFill>
          <bgColor rgb="FFFFFFCC"/>
        </patternFill>
      </fill>
    </dxf>
    <dxf>
      <border>
        <left/>
        <right style="thin">
          <color auto="1"/>
        </right>
        <top/>
        <bottom/>
        <vertical/>
        <horizontal/>
      </border>
    </dxf>
    <dxf>
      <fill>
        <patternFill>
          <bgColor theme="0"/>
        </patternFill>
      </fill>
      <border>
        <left/>
        <right style="thin">
          <color auto="1"/>
        </right>
        <top style="thin">
          <color auto="1"/>
        </top>
        <bottom/>
        <vertical/>
        <horizontal/>
      </border>
    </dxf>
    <dxf>
      <border>
        <left/>
        <right style="thin">
          <color auto="1"/>
        </right>
        <top style="thin">
          <color auto="1"/>
        </top>
        <bottom/>
        <vertical/>
        <horizontal/>
      </border>
    </dxf>
    <dxf>
      <fill>
        <patternFill>
          <bgColor theme="0"/>
        </patternFill>
      </fill>
      <border>
        <left/>
        <right style="thin">
          <color auto="1"/>
        </right>
        <top style="thin">
          <color auto="1"/>
        </top>
        <bottom/>
        <vertical/>
        <horizontal/>
      </border>
    </dxf>
    <dxf>
      <border>
        <left/>
        <right style="thin">
          <color auto="1"/>
        </right>
        <top/>
        <bottom style="thin">
          <color auto="1"/>
        </bottom>
        <vertical/>
        <horizontal/>
      </border>
    </dxf>
    <dxf>
      <fill>
        <patternFill>
          <bgColor theme="0"/>
        </patternFill>
      </fill>
      <border>
        <left/>
        <right style="thin">
          <color auto="1"/>
        </right>
        <top style="thin">
          <color auto="1"/>
        </top>
        <bottom style="thin">
          <color auto="1"/>
        </bottom>
        <vertical/>
        <horizontal/>
      </border>
    </dxf>
    <dxf>
      <border>
        <left/>
        <right style="thin">
          <color auto="1"/>
        </right>
        <top style="thin">
          <color auto="1"/>
        </top>
        <bottom/>
        <vertical/>
        <horizontal/>
      </border>
    </dxf>
    <dxf>
      <fill>
        <patternFill>
          <bgColor theme="0"/>
        </patternFill>
      </fill>
      <border>
        <left/>
        <right style="thin">
          <color auto="1"/>
        </right>
        <top style="thin">
          <color auto="1"/>
        </top>
        <bottom/>
        <vertical/>
        <horizontal/>
      </border>
    </dxf>
    <dxf>
      <fill>
        <patternFill>
          <bgColor theme="0"/>
        </patternFill>
      </fill>
      <border>
        <left/>
        <right style="thin">
          <color auto="1"/>
        </right>
        <top style="thin">
          <color auto="1"/>
        </top>
        <bottom style="thin">
          <color auto="1"/>
        </bottom>
        <vertical/>
        <horizontal/>
      </border>
    </dxf>
    <dxf>
      <border>
        <left/>
        <right style="thin">
          <color auto="1"/>
        </right>
        <top/>
        <bottom style="thin">
          <color auto="1"/>
        </bottom>
        <vertical/>
        <horizontal/>
      </border>
    </dxf>
    <dxf>
      <fill>
        <patternFill>
          <bgColor theme="0"/>
        </patternFill>
      </fill>
      <border>
        <left/>
        <right style="thin">
          <color auto="1"/>
        </right>
        <top style="thin">
          <color auto="1"/>
        </top>
        <bottom/>
        <vertical/>
        <horizontal/>
      </border>
    </dxf>
    <dxf>
      <border>
        <left/>
        <right style="thin">
          <color auto="1"/>
        </right>
        <top style="thin">
          <color auto="1"/>
        </top>
        <bottom/>
        <vertical/>
        <horizontal/>
      </border>
    </dxf>
    <dxf>
      <fill>
        <patternFill>
          <bgColor theme="0"/>
        </patternFill>
      </fill>
      <border>
        <left/>
        <right style="thin">
          <color auto="1"/>
        </right>
        <top style="thin">
          <color auto="1"/>
        </top>
        <bottom style="thin">
          <color auto="1"/>
        </bottom>
        <vertical/>
        <horizontal/>
      </border>
    </dxf>
    <dxf>
      <border>
        <left/>
        <right style="thin">
          <color auto="1"/>
        </right>
        <top/>
        <bottom style="thin">
          <color auto="1"/>
        </bottom>
        <vertical/>
        <horizontal/>
      </border>
    </dxf>
    <dxf>
      <fill>
        <patternFill>
          <bgColor theme="0"/>
        </patternFill>
      </fill>
      <border>
        <left/>
        <right style="thin">
          <color auto="1"/>
        </right>
        <top style="thin">
          <color auto="1"/>
        </top>
        <bottom style="thin">
          <color auto="1"/>
        </bottom>
        <vertical/>
        <horizontal/>
      </border>
    </dxf>
    <dxf>
      <fill>
        <patternFill>
          <bgColor theme="0"/>
        </patternFill>
      </fill>
      <border>
        <left/>
        <right style="thin">
          <color auto="1"/>
        </right>
        <top style="thin">
          <color auto="1"/>
        </top>
        <bottom/>
        <vertical/>
        <horizontal/>
      </border>
    </dxf>
    <dxf>
      <border>
        <left/>
        <right style="thin">
          <color auto="1"/>
        </right>
        <top style="thin">
          <color auto="1"/>
        </top>
        <bottom/>
        <vertical/>
        <horizontal/>
      </border>
    </dxf>
    <dxf>
      <fill>
        <patternFill>
          <bgColor theme="0"/>
        </patternFill>
      </fill>
      <border>
        <right style="thin">
          <color auto="1"/>
        </right>
        <top style="thin">
          <color auto="1"/>
        </top>
        <vertical/>
        <horizontal/>
      </border>
    </dxf>
    <dxf>
      <fill>
        <patternFill>
          <bgColor theme="0"/>
        </patternFill>
      </fill>
      <border>
        <right style="thin">
          <color auto="1"/>
        </right>
        <top style="thin">
          <color auto="1"/>
        </top>
        <vertical/>
        <horizontal/>
      </border>
    </dxf>
    <dxf>
      <fill>
        <patternFill>
          <bgColor theme="0"/>
        </patternFill>
      </fill>
      <border>
        <right style="thin">
          <color auto="1"/>
        </right>
        <top style="thin">
          <color auto="1"/>
        </top>
        <vertical/>
        <horizontal/>
      </border>
    </dxf>
    <dxf>
      <fill>
        <patternFill>
          <bgColor theme="0"/>
        </patternFill>
      </fill>
      <border>
        <right style="thin">
          <color auto="1"/>
        </right>
        <top style="thin">
          <color auto="1"/>
        </top>
        <vertical/>
        <horizontal/>
      </border>
    </dxf>
    <dxf>
      <fill>
        <patternFill>
          <bgColor theme="0"/>
        </patternFill>
      </fill>
      <border>
        <right style="thin">
          <color auto="1"/>
        </right>
        <top style="thin">
          <color auto="1"/>
        </top>
        <vertical/>
        <horizontal/>
      </border>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5" tint="-0.499984740745262"/>
      </font>
      <fill>
        <patternFill>
          <bgColor theme="5" tint="0.39994506668294322"/>
        </patternFill>
      </fill>
    </dxf>
    <dxf>
      <font>
        <color theme="7" tint="-0.24994659260841701"/>
      </font>
      <fill>
        <patternFill>
          <bgColor theme="7" tint="0.59996337778862885"/>
        </patternFill>
      </fill>
    </dxf>
    <dxf>
      <font>
        <color theme="9" tint="-0.24994659260841701"/>
      </font>
      <fill>
        <patternFill>
          <bgColor theme="9" tint="0.59996337778862885"/>
        </patternFill>
      </fill>
    </dxf>
    <dxf>
      <fill>
        <patternFill>
          <bgColor theme="0" tint="-0.14996795556505021"/>
        </patternFill>
      </fill>
    </dxf>
    <dxf>
      <font>
        <color rgb="FFC00000"/>
      </font>
      <fill>
        <patternFill>
          <bgColor rgb="FFFF8B8B"/>
        </patternFill>
      </fill>
    </dxf>
    <dxf>
      <font>
        <b/>
        <i val="0"/>
        <color theme="0" tint="-0.499984740745262"/>
      </font>
      <fill>
        <patternFill>
          <bgColor theme="0" tint="-0.24994659260841701"/>
        </patternFill>
      </fill>
    </dxf>
    <dxf>
      <fill>
        <patternFill>
          <bgColor theme="0"/>
        </patternFill>
      </fill>
      <border>
        <left/>
        <right style="thin">
          <color auto="1"/>
        </right>
        <top style="thin">
          <color auto="1"/>
        </top>
        <bottom/>
        <vertical/>
        <horizontal/>
      </border>
    </dxf>
    <dxf>
      <font>
        <color theme="0" tint="-0.499984740745262"/>
      </font>
      <fill>
        <patternFill>
          <bgColor theme="0" tint="-0.24994659260841701"/>
        </patternFill>
      </fill>
    </dxf>
    <dxf>
      <font>
        <color theme="0" tint="-0.24994659260841701"/>
      </font>
      <fill>
        <patternFill>
          <bgColor theme="0" tint="-0.24994659260841701"/>
        </patternFill>
      </fill>
      <border>
        <left style="thin">
          <color auto="1"/>
        </left>
        <right style="thin">
          <color auto="1"/>
        </right>
        <top style="thin">
          <color auto="1"/>
        </top>
        <bottom style="thin">
          <color auto="1"/>
        </bottom>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ont>
        <color theme="0" tint="-0.24994659260841701"/>
      </font>
      <fill>
        <patternFill>
          <bgColor theme="0" tint="-0.24994659260841701"/>
        </patternFill>
      </fill>
      <border>
        <vertical/>
        <horizontal/>
      </border>
    </dxf>
    <dxf>
      <fill>
        <patternFill>
          <bgColor theme="0"/>
        </patternFill>
      </fill>
      <border>
        <left/>
        <right style="thin">
          <color auto="1"/>
        </right>
        <top/>
        <bottom/>
        <vertical/>
        <horizontal/>
      </border>
    </dxf>
    <dxf>
      <fill>
        <patternFill>
          <bgColor theme="0"/>
        </patternFill>
      </fill>
      <border>
        <right style="thin">
          <color auto="1"/>
        </right>
      </border>
    </dxf>
    <dxf>
      <fill>
        <patternFill>
          <bgColor theme="0"/>
        </patternFill>
      </fill>
      <border>
        <left/>
        <right style="thin">
          <color auto="1"/>
        </right>
        <top/>
        <bottom/>
      </border>
    </dxf>
    <dxf>
      <fill>
        <patternFill>
          <bgColor theme="0"/>
        </patternFill>
      </fill>
      <border>
        <left/>
        <right style="thin">
          <color auto="1"/>
        </right>
        <top/>
        <bottom/>
        <vertical/>
        <horizontal/>
      </border>
    </dxf>
    <dxf>
      <fill>
        <patternFill>
          <bgColor theme="0"/>
        </patternFill>
      </fill>
      <border>
        <left/>
        <right style="thin">
          <color auto="1"/>
        </right>
        <top/>
        <bottom/>
        <vertical/>
        <horizontal/>
      </border>
    </dxf>
    <dxf>
      <fill>
        <patternFill>
          <bgColor theme="0"/>
        </patternFill>
      </fill>
      <border>
        <left/>
        <right style="thin">
          <color auto="1"/>
        </right>
        <top style="thin">
          <color auto="1"/>
        </top>
        <bottom/>
        <vertical/>
        <horizontal/>
      </border>
    </dxf>
    <dxf>
      <fill>
        <patternFill>
          <bgColor theme="0" tint="-4.9989318521683403E-2"/>
        </patternFill>
      </fill>
      <border>
        <left style="thin">
          <color auto="1"/>
        </left>
        <right/>
        <top/>
        <bottom/>
        <vertical/>
        <horizontal/>
      </border>
    </dxf>
    <dxf>
      <alignment horizontal="center" vertical="center" textRotation="0" wrapText="1" indent="0" justifyLastLine="0" shrinkToFit="0" readingOrder="0"/>
    </dxf>
    <dxf>
      <alignment horizontal="left" vertical="center" textRotation="0" wrapText="1" indent="0" justifyLastLine="0" shrinkToFit="0" readingOrder="0"/>
    </dxf>
    <dxf>
      <border outline="0">
        <bottom style="medium">
          <color rgb="FFFFFFFF"/>
        </bottom>
      </border>
    </dxf>
    <dxf>
      <font>
        <b/>
        <i val="0"/>
        <strike val="0"/>
        <condense val="0"/>
        <extend val="0"/>
        <outline val="0"/>
        <shadow val="0"/>
        <u val="none"/>
        <vertAlign val="baseline"/>
        <sz val="10"/>
        <color rgb="FFFFFFFF"/>
        <name val="Arial Nova"/>
        <family val="2"/>
        <scheme val="none"/>
      </font>
      <fill>
        <patternFill patternType="solid">
          <fgColor indexed="64"/>
          <bgColor rgb="FF12A8B2"/>
        </patternFill>
      </fill>
      <alignment horizontal="left"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left" vertical="center" textRotation="0" wrapText="1" indent="0" justifyLastLine="0" shrinkToFit="0" readingOrder="0"/>
    </dxf>
    <dxf>
      <border outline="0">
        <top style="thin">
          <color theme="4" tint="0.39997558519241921"/>
        </top>
      </border>
    </dxf>
    <dxf>
      <border outline="0">
        <left style="thin">
          <color theme="4" tint="0.39997558519241921"/>
        </left>
        <top style="thin">
          <color theme="4" tint="0.39997558519241921"/>
        </top>
        <bottom style="medium">
          <color rgb="FFFFFFFF"/>
        </bottom>
      </border>
    </dxf>
    <dxf>
      <border outline="0">
        <bottom style="medium">
          <color rgb="FFFFFFFF"/>
        </bottom>
      </border>
    </dxf>
    <dxf>
      <font>
        <b/>
        <i val="0"/>
        <strike val="0"/>
        <condense val="0"/>
        <extend val="0"/>
        <outline val="0"/>
        <shadow val="0"/>
        <u val="none"/>
        <vertAlign val="baseline"/>
        <sz val="10"/>
        <color rgb="FFFFFFFF"/>
        <name val="Arial Nova"/>
        <family val="2"/>
        <scheme val="none"/>
      </font>
      <fill>
        <patternFill patternType="solid">
          <fgColor indexed="64"/>
          <bgColor rgb="FF12A8B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Nova"/>
        <family val="2"/>
        <scheme val="none"/>
      </font>
      <fill>
        <patternFill patternType="solid">
          <fgColor indexed="64"/>
          <bgColor rgb="FF92D050"/>
        </patternFill>
      </fill>
      <border diagonalUp="0" diagonalDown="0" outline="0">
        <left style="medium">
          <color rgb="FFFFFFFF"/>
        </left>
        <right style="medium">
          <color rgb="FFFFFFFF"/>
        </right>
        <top/>
        <bottom style="medium">
          <color rgb="FFFFFFFF"/>
        </bottom>
      </border>
    </dxf>
    <dxf>
      <font>
        <sz val="10"/>
        <color rgb="FF000000"/>
        <name val="Arial Nova"/>
        <family val="2"/>
      </font>
      <fill>
        <patternFill patternType="solid">
          <fgColor indexed="64"/>
          <bgColor theme="8" tint="0.79998168889431442"/>
        </patternFill>
      </fill>
      <border diagonalUp="0" diagonalDown="0" outline="0">
        <left/>
        <right style="medium">
          <color rgb="FFFFFFFF"/>
        </right>
        <top/>
        <bottom style="medium">
          <color rgb="FFFFFFFF"/>
        </bottom>
      </border>
    </dxf>
    <dxf>
      <border outline="0">
        <bottom style="medium">
          <color rgb="FFFFFFFF"/>
        </bottom>
      </border>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border diagonalUp="0" diagonalDown="0">
        <left/>
        <right style="thin">
          <color indexed="64"/>
        </right>
        <top/>
        <bottom/>
        <vertical/>
        <horizontal/>
      </border>
    </dxf>
    <dxf>
      <numFmt numFmtId="0" formatCode="General"/>
      <border diagonalUp="0" diagonalDown="0">
        <left style="thin">
          <color indexed="64"/>
        </left>
        <right/>
        <top/>
        <bottom/>
        <vertical/>
        <horizontal/>
      </border>
    </dxf>
    <dxf>
      <border diagonalUp="0" diagonalDown="0">
        <left/>
        <right style="thin">
          <color indexed="64"/>
        </right>
        <top/>
        <bottom/>
        <vertical/>
        <horizontal/>
      </border>
    </dxf>
    <dxf>
      <numFmt numFmtId="0" formatCode="General"/>
      <border diagonalUp="0" diagonalDown="0">
        <left style="thin">
          <color indexed="64"/>
        </left>
        <right/>
        <top/>
        <bottom/>
        <vertical/>
        <horizontal/>
      </border>
    </dxf>
    <dxf>
      <border diagonalUp="0" diagonalDown="0">
        <left/>
        <right style="thin">
          <color indexed="64"/>
        </right>
        <top/>
        <bottom/>
        <vertical/>
        <horizontal/>
      </border>
    </dxf>
    <dxf>
      <numFmt numFmtId="0" formatCode="General"/>
    </dxf>
    <dxf>
      <border diagonalUp="0" diagonalDown="0">
        <left style="thin">
          <color indexed="64"/>
        </left>
        <right/>
        <top/>
        <bottom/>
        <vertical/>
        <horizontal/>
      </border>
    </dxf>
    <dxf>
      <numFmt numFmtId="0" formatCode="General"/>
      <border diagonalUp="0" diagonalDown="0">
        <left/>
        <right style="thin">
          <color indexed="64"/>
        </right>
        <top/>
        <bottom/>
        <vertical/>
        <horizontal/>
      </border>
    </dxf>
    <dxf>
      <numFmt numFmtId="0" formatCode="General"/>
      <border diagonalUp="0" diagonalDown="0">
        <left style="thin">
          <color indexed="64"/>
        </left>
        <right/>
        <top/>
        <bottom/>
        <vertical/>
        <horizontal/>
      </border>
    </dxf>
    <dxf>
      <fill>
        <patternFill patternType="solid">
          <fgColor indexed="64"/>
          <bgColor theme="0" tint="-4.9989318521683403E-2"/>
        </patternFill>
      </fill>
      <alignment horizontal="left" vertical="center" textRotation="0" wrapText="0" indent="0" justifyLastLine="0" shrinkToFit="0" readingOrder="0"/>
    </dxf>
    <dxf>
      <font>
        <b/>
        <i val="0"/>
        <strike val="0"/>
        <condense val="0"/>
        <extend val="0"/>
        <outline val="0"/>
        <shadow val="0"/>
        <u val="none"/>
        <vertAlign val="baseline"/>
        <sz val="14"/>
        <color theme="1"/>
        <name val="Arial"/>
        <family val="2"/>
        <scheme val="none"/>
      </font>
      <fill>
        <patternFill patternType="solid">
          <fgColor indexed="64"/>
          <bgColor theme="0" tint="-4.9989318521683403E-2"/>
        </patternFill>
      </fill>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theme="1" tint="4.9989318521683403E-2"/>
        <name val="Arial"/>
        <family val="2"/>
        <scheme val="none"/>
      </font>
      <fill>
        <patternFill patternType="solid">
          <fgColor indexed="64"/>
          <bgColor theme="0" tint="-4.9989318521683403E-2"/>
        </patternFill>
      </fill>
    </dxf>
    <dxf>
      <border diagonalUp="0" diagonalDown="0">
        <left/>
        <right style="thin">
          <color indexed="64"/>
        </right>
        <top/>
        <bottom/>
        <vertical/>
        <horizontal/>
      </border>
    </dxf>
    <dxf>
      <border diagonalUp="0" diagonalDown="0">
        <left style="thin">
          <color indexed="64"/>
        </left>
        <right/>
        <top/>
        <bottom/>
        <vertical/>
        <horizontal/>
      </border>
    </dxf>
    <dxf>
      <border diagonalUp="0" diagonalDown="0">
        <left/>
        <right style="thin">
          <color indexed="64"/>
        </right>
        <top/>
        <bottom/>
        <vertical/>
        <horizontal/>
      </border>
    </dxf>
    <dxf>
      <border diagonalUp="0" diagonalDown="0">
        <left style="thin">
          <color indexed="64"/>
        </left>
        <right/>
        <top/>
        <bottom/>
        <vertical/>
        <horizontal/>
      </border>
    </dxf>
    <dxf>
      <border diagonalUp="0" diagonalDown="0">
        <left/>
        <right style="thin">
          <color indexed="64"/>
        </right>
        <top/>
        <bottom/>
        <vertical/>
        <horizontal/>
      </border>
    </dxf>
    <dxf>
      <border diagonalUp="0" diagonalDown="0">
        <left style="thin">
          <color indexed="64"/>
        </left>
        <right/>
        <top/>
        <bottom/>
        <vertical/>
        <horizontal/>
      </border>
    </dxf>
    <dxf>
      <border diagonalUp="0" diagonalDown="0">
        <left/>
        <right style="thin">
          <color indexed="64"/>
        </right>
        <vertical/>
      </border>
    </dxf>
    <dxf>
      <border diagonalUp="0" diagonalDown="0">
        <left style="thin">
          <color indexed="64"/>
        </left>
        <right/>
        <vertical/>
      </border>
    </dxf>
    <dxf>
      <fill>
        <patternFill patternType="solid">
          <fgColor indexed="64"/>
          <bgColor theme="0" tint="-4.9989318521683403E-2"/>
        </patternFill>
      </fill>
      <alignment horizontal="left" vertical="center" textRotation="0" wrapText="0" indent="0" justifyLastLine="0" shrinkToFit="0" readingOrder="0"/>
    </dxf>
    <dxf>
      <font>
        <b/>
        <i val="0"/>
        <strike val="0"/>
        <condense val="0"/>
        <extend val="0"/>
        <outline val="0"/>
        <shadow val="0"/>
        <u val="none"/>
        <vertAlign val="baseline"/>
        <sz val="14"/>
        <color theme="1"/>
        <name val="Arial"/>
        <family val="2"/>
        <scheme val="none"/>
      </font>
      <fill>
        <patternFill patternType="solid">
          <fgColor indexed="64"/>
          <bgColor theme="0" tint="-4.9989318521683403E-2"/>
        </patternFill>
      </fill>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theme="1" tint="4.9989318521683403E-2"/>
        <name val="Arial"/>
        <family val="2"/>
        <scheme val="none"/>
      </font>
      <fill>
        <patternFill patternType="solid">
          <fgColor indexed="64"/>
          <bgColor theme="0" tint="-4.9989318521683403E-2"/>
        </patternFill>
      </fill>
    </dxf>
    <dxf>
      <border diagonalUp="0" diagonalDown="0">
        <left/>
        <right style="thin">
          <color indexed="64"/>
        </right>
        <vertical/>
      </border>
    </dxf>
    <dxf>
      <border diagonalUp="0" diagonalDown="0">
        <left style="thin">
          <color indexed="64"/>
        </left>
        <right/>
        <vertical/>
      </border>
    </dxf>
    <dxf>
      <border diagonalUp="0" diagonalDown="0">
        <left/>
        <right style="thin">
          <color indexed="64"/>
        </right>
        <vertical/>
      </border>
    </dxf>
    <dxf>
      <border diagonalUp="0" diagonalDown="0">
        <left style="thin">
          <color indexed="64"/>
        </left>
        <right/>
        <vertic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solid">
          <fgColor indexed="64"/>
          <bgColor theme="0" tint="-4.9989318521683403E-2"/>
        </patternFill>
      </fill>
      <alignment horizontal="left" vertical="center" textRotation="0" wrapText="0" indent="0" justifyLastLine="0" shrinkToFit="0" readingOrder="0"/>
    </dxf>
    <dxf>
      <font>
        <b/>
        <i val="0"/>
        <strike val="0"/>
        <condense val="0"/>
        <extend val="0"/>
        <outline val="0"/>
        <shadow val="0"/>
        <u val="none"/>
        <vertAlign val="baseline"/>
        <sz val="14"/>
        <color theme="1"/>
        <name val="Arial"/>
        <family val="2"/>
        <scheme val="none"/>
      </font>
      <fill>
        <patternFill patternType="solid">
          <fgColor indexed="64"/>
          <bgColor theme="0" tint="-4.9989318521683403E-2"/>
        </patternFill>
      </fill>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fill>
        <patternFill patternType="solid">
          <fgColor theme="4" tint="0.79998168889431442"/>
          <bgColor theme="4" tint="0.79998168889431442"/>
        </patternFill>
      </fill>
      <border diagonalUp="0" diagonalDown="0">
        <left style="medium">
          <color indexed="64"/>
        </left>
        <right/>
        <top style="thin">
          <color theme="4" tint="0.39997558519241921"/>
        </top>
        <bottom style="thin">
          <color theme="4" tint="0.39997558519241921"/>
        </bottom>
        <vertical/>
        <horizontal/>
      </border>
    </dxf>
    <dxf>
      <border outline="0">
        <bottom style="thin">
          <color indexed="64"/>
        </bottom>
      </border>
    </dxf>
    <dxf>
      <font>
        <b/>
        <i val="0"/>
        <strike val="0"/>
        <condense val="0"/>
        <extend val="0"/>
        <outline val="0"/>
        <shadow val="0"/>
        <u val="none"/>
        <vertAlign val="baseline"/>
        <sz val="14"/>
        <color theme="1" tint="4.9989318521683403E-2"/>
        <name val="Arial"/>
        <family val="2"/>
        <scheme val="none"/>
      </font>
      <fill>
        <patternFill patternType="solid">
          <fgColor indexed="64"/>
          <bgColor theme="0" tint="-4.9989318521683403E-2"/>
        </patternFill>
      </fill>
    </dxf>
    <dxf>
      <border diagonalUp="0" diagonalDown="0">
        <left/>
        <right style="medium">
          <color indexed="64"/>
        </right>
        <top/>
        <bottom/>
        <vertical/>
        <horizontal/>
      </border>
    </dxf>
    <dxf>
      <border diagonalUp="0" diagonalDown="0">
        <left style="thin">
          <color indexed="64"/>
        </left>
        <right/>
        <top/>
        <bottom/>
        <vertical/>
        <horizontal/>
      </border>
    </dxf>
    <dxf>
      <border diagonalUp="0" diagonalDown="0">
        <left/>
        <right style="thin">
          <color indexed="64"/>
        </right>
        <top/>
        <bottom/>
        <vertical/>
        <horizontal/>
      </border>
    </dxf>
    <dxf>
      <border diagonalUp="0" diagonalDown="0">
        <left style="thin">
          <color indexed="64"/>
        </left>
        <right/>
        <top/>
        <bottom/>
        <vertical/>
        <horizontal/>
      </border>
    </dxf>
    <dxf>
      <border diagonalUp="0" diagonalDown="0">
        <left/>
        <right style="thin">
          <color indexed="64"/>
        </right>
        <top/>
        <bottom/>
        <vertical/>
        <horizontal/>
      </border>
    </dxf>
    <dxf>
      <border diagonalUp="0" diagonalDown="0">
        <left style="thin">
          <color indexed="64"/>
        </left>
        <right/>
        <top/>
        <bottom/>
        <vertical/>
        <horizontal/>
      </border>
    </dxf>
    <dxf>
      <border diagonalUp="0" diagonalDown="0">
        <left/>
        <right style="medium">
          <color indexed="64"/>
        </right>
        <top/>
        <bottom/>
        <vertical/>
        <horizontal/>
      </border>
    </dxf>
    <dxf>
      <border diagonalUp="0" diagonalDown="0">
        <left style="thin">
          <color indexed="64"/>
        </left>
        <right/>
        <top/>
        <bottom/>
        <vertical/>
        <horizontal/>
      </border>
    </dxf>
    <dxf>
      <fill>
        <patternFill patternType="solid">
          <fgColor indexed="64"/>
          <bgColor theme="0" tint="-4.9989318521683403E-2"/>
        </patternFill>
      </fill>
      <alignment horizontal="left" vertical="center" textRotation="0" wrapText="0" indent="0" justifyLastLine="0" shrinkToFit="0" readingOrder="0"/>
    </dxf>
    <dxf>
      <font>
        <b/>
        <i val="0"/>
        <strike val="0"/>
        <condense val="0"/>
        <extend val="0"/>
        <outline val="0"/>
        <shadow val="0"/>
        <u val="none"/>
        <vertAlign val="baseline"/>
        <sz val="14"/>
        <color theme="1"/>
        <name val="Arial"/>
        <family val="2"/>
        <scheme val="none"/>
      </font>
      <fill>
        <patternFill patternType="solid">
          <fgColor indexed="64"/>
          <bgColor theme="0" tint="-4.9989318521683403E-2"/>
        </patternFill>
      </fill>
      <alignment horizontal="left"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4"/>
        <color theme="1"/>
        <name val="Arial"/>
        <family val="2"/>
        <scheme val="none"/>
      </font>
      <fill>
        <patternFill patternType="solid">
          <fgColor theme="4" tint="0.79998168889431442"/>
          <bgColor theme="4" tint="0.79998168889431442"/>
        </patternFill>
      </fill>
      <border diagonalUp="0" diagonalDown="0">
        <left style="medium">
          <color indexed="64"/>
        </left>
        <right/>
        <top style="thin">
          <color theme="4" tint="0.39997558519241921"/>
        </top>
        <bottom style="thin">
          <color theme="4" tint="0.39997558519241921"/>
        </bottom>
        <vertical/>
        <horizontal/>
      </border>
    </dxf>
    <dxf>
      <border outline="0">
        <bottom style="medium">
          <color indexed="64"/>
        </bottom>
      </border>
    </dxf>
    <dxf>
      <font>
        <b/>
        <i val="0"/>
        <strike val="0"/>
        <condense val="0"/>
        <extend val="0"/>
        <outline val="0"/>
        <shadow val="0"/>
        <u val="none"/>
        <vertAlign val="baseline"/>
        <sz val="14"/>
        <color theme="1" tint="4.9989318521683403E-2"/>
        <name val="Arial"/>
        <family val="2"/>
        <scheme val="none"/>
      </font>
      <fill>
        <patternFill patternType="solid">
          <fgColor indexed="64"/>
          <bgColor theme="0" tint="-4.9989318521683403E-2"/>
        </patternFill>
      </fill>
    </dxf>
    <dxf>
      <border diagonalUp="0" diagonalDown="0">
        <left/>
        <right style="medium">
          <color indexed="64"/>
        </right>
        <top/>
        <bottom/>
        <vertical/>
        <horizontal/>
      </border>
    </dxf>
    <dxf>
      <border diagonalUp="0" diagonalDown="0">
        <left style="thin">
          <color indexed="64"/>
        </left>
        <right/>
        <top/>
        <bottom/>
        <vertical/>
        <horizontal/>
      </border>
    </dxf>
    <dxf>
      <border diagonalUp="0" diagonalDown="0">
        <left/>
        <right style="thin">
          <color indexed="64"/>
        </right>
        <top/>
        <bottom/>
        <vertical/>
        <horizontal/>
      </border>
    </dxf>
    <dxf>
      <border diagonalUp="0" diagonalDown="0">
        <left style="thin">
          <color indexed="64"/>
        </left>
        <right/>
        <top/>
        <bottom/>
        <vertical/>
        <horizontal/>
      </border>
    </dxf>
    <dxf>
      <border diagonalUp="0" diagonalDown="0">
        <left/>
        <right style="thin">
          <color indexed="64"/>
        </right>
        <top/>
        <bottom/>
        <vertical/>
        <horizontal/>
      </border>
    </dxf>
    <dxf>
      <border diagonalUp="0" diagonalDown="0">
        <left style="thin">
          <color indexed="64"/>
        </left>
        <right/>
        <top/>
        <bottom/>
        <vertical/>
        <horizontal/>
      </border>
    </dxf>
    <dxf>
      <font>
        <b val="0"/>
        <i val="0"/>
        <strike val="0"/>
        <condense val="0"/>
        <extend val="0"/>
        <outline val="0"/>
        <shadow val="0"/>
        <u val="none"/>
        <vertAlign val="baseline"/>
        <sz val="14"/>
        <color theme="1"/>
        <name val="Arial"/>
        <family val="2"/>
        <scheme val="none"/>
      </font>
      <fill>
        <patternFill patternType="solid">
          <fgColor indexed="64"/>
          <bgColor theme="0" tint="-4.9989318521683403E-2"/>
        </patternFill>
      </fill>
      <alignment horizontal="left"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i val="0"/>
        <strike val="0"/>
        <condense val="0"/>
        <extend val="0"/>
        <outline val="0"/>
        <shadow val="0"/>
        <u val="none"/>
        <vertAlign val="baseline"/>
        <sz val="14"/>
        <color theme="1"/>
        <name val="Arial"/>
        <family val="2"/>
        <scheme val="none"/>
      </font>
      <fill>
        <patternFill patternType="solid">
          <fgColor indexed="64"/>
          <bgColor theme="0" tint="-4.9989318521683403E-2"/>
        </patternFill>
      </fill>
      <alignment horizontal="left" vertical="center" textRotation="0" wrapText="0" indent="0" justifyLastLine="0" shrinkToFit="0" readingOrder="0"/>
      <border diagonalUp="0" diagonalDown="0">
        <left style="thin">
          <color indexed="64"/>
        </left>
        <right/>
        <top style="thin">
          <color theme="4" tint="0.39997558519241921"/>
        </top>
        <bottom style="thin">
          <color theme="4" tint="0.39997558519241921"/>
        </bottom>
        <vertical/>
        <horizontal/>
      </border>
    </dxf>
    <dxf>
      <border diagonalUp="0" diagonalDown="0">
        <left style="medium">
          <color indexed="64"/>
        </left>
        <right/>
        <top/>
        <bottom/>
        <vertical/>
        <horizontal/>
      </border>
    </dxf>
    <dxf>
      <font>
        <b/>
        <i val="0"/>
        <strike val="0"/>
        <condense val="0"/>
        <extend val="0"/>
        <outline val="0"/>
        <shadow val="0"/>
        <u val="none"/>
        <vertAlign val="baseline"/>
        <sz val="14"/>
        <color theme="1" tint="4.9989318521683403E-2"/>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4"/>
        <color auto="1"/>
        <name val="Arial Nova"/>
        <family val="2"/>
        <scheme val="none"/>
      </font>
      <fill>
        <patternFill>
          <fgColor indexed="64"/>
          <bgColor theme="0"/>
        </patternFill>
      </fill>
      <alignment horizontal="left" vertical="center" textRotation="0" wrapText="1" indent="0" justifyLastLine="0" shrinkToFit="0" readingOrder="0"/>
      <border diagonalUp="0" diagonalDown="0" outline="0">
        <left/>
        <right/>
        <top style="thin">
          <color theme="0" tint="-0.24994659260841701"/>
        </top>
        <bottom style="thin">
          <color theme="0" tint="-0.24994659260841701"/>
        </bottom>
      </border>
    </dxf>
    <dxf>
      <font>
        <b/>
        <i val="0"/>
        <strike val="0"/>
        <condense val="0"/>
        <extend val="0"/>
        <outline val="0"/>
        <shadow val="0"/>
        <u val="none"/>
        <vertAlign val="baseline"/>
        <sz val="14"/>
        <color auto="1"/>
        <name val="Arial"/>
        <family val="2"/>
        <scheme val="none"/>
      </font>
      <fill>
        <patternFill>
          <fgColor indexed="64"/>
          <bgColor theme="0"/>
        </patternFill>
      </fill>
      <alignment horizontal="general" vertical="center" textRotation="0" wrapText="1" indent="0" justifyLastLine="0" shrinkToFit="0" readingOrder="0"/>
      <border diagonalUp="0" diagonalDown="0" outline="0">
        <left/>
        <right/>
        <top style="thin">
          <color theme="0" tint="-0.24994659260841701"/>
        </top>
        <bottom style="thin">
          <color theme="0" tint="-0.24994659260841701"/>
        </bottom>
      </border>
    </dxf>
    <dxf>
      <border outline="0">
        <top style="thin">
          <color theme="0" tint="-0.24994659260841701"/>
        </top>
      </border>
    </dxf>
    <dxf>
      <border outline="0">
        <top style="thin">
          <color theme="0" tint="-0.24994659260841701"/>
        </top>
        <bottom style="thin">
          <color theme="0" tint="-0.24994659260841701"/>
        </bottom>
      </border>
    </dxf>
    <dxf>
      <font>
        <strike val="0"/>
        <outline val="0"/>
        <shadow val="0"/>
        <u val="none"/>
        <vertAlign val="baseline"/>
        <sz val="14"/>
        <color auto="1"/>
      </font>
      <fill>
        <patternFill>
          <fgColor indexed="64"/>
          <bgColor theme="0"/>
        </patternFill>
      </fill>
    </dxf>
    <dxf>
      <border outline="0">
        <bottom style="thin">
          <color theme="0" tint="-0.24994659260841701"/>
        </bottom>
      </border>
    </dxf>
    <dxf>
      <font>
        <strike val="0"/>
        <outline val="0"/>
        <shadow val="0"/>
        <u val="none"/>
        <vertAlign val="baseline"/>
        <sz val="14"/>
        <color auto="1"/>
      </font>
      <fill>
        <patternFill>
          <fgColor indexed="64"/>
          <bgColor theme="0"/>
        </patternFill>
      </fill>
    </dxf>
  </dxfs>
  <tableStyles count="0" defaultTableStyle="TableStyleMedium2" defaultPivotStyle="PivotStyleLight16"/>
  <colors>
    <mruColors>
      <color rgb="FF7CD1D7"/>
      <color rgb="FF12A8B2"/>
      <color rgb="FFCEF7FA"/>
      <color rgb="FFFF8B8B"/>
      <color rgb="FFCC423E"/>
      <color rgb="FFEE2E27"/>
      <color rgb="FF929292"/>
      <color rgb="FFFFF2CC"/>
      <color rgb="FFC2CF85"/>
      <color rgb="FFFCAF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4.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57151</xdr:colOff>
      <xdr:row>7</xdr:row>
      <xdr:rowOff>85725</xdr:rowOff>
    </xdr:to>
    <xdr:pic>
      <xdr:nvPicPr>
        <xdr:cNvPr id="2" name="Picture 1">
          <a:extLst>
            <a:ext uri="{FF2B5EF4-FFF2-40B4-BE49-F238E27FC236}">
              <a16:creationId xmlns:a16="http://schemas.microsoft.com/office/drawing/2014/main" id="{2779E104-4DC0-4C35-98AC-47E1869304AF}"/>
            </a:ext>
          </a:extLst>
        </xdr:cNvPr>
        <xdr:cNvPicPr>
          <a:picLocks noChangeAspect="1"/>
        </xdr:cNvPicPr>
      </xdr:nvPicPr>
      <xdr:blipFill>
        <a:blip xmlns:r="http://schemas.openxmlformats.org/officeDocument/2006/relationships" r:embed="rId1"/>
        <a:stretch>
          <a:fillRect/>
        </a:stretch>
      </xdr:blipFill>
      <xdr:spPr>
        <a:xfrm>
          <a:off x="1" y="0"/>
          <a:ext cx="2800350" cy="1282700"/>
        </a:xfrm>
        <a:prstGeom prst="rect">
          <a:avLst/>
        </a:prstGeom>
      </xdr:spPr>
    </xdr:pic>
    <xdr:clientData/>
  </xdr:twoCellAnchor>
  <xdr:twoCellAnchor editAs="oneCell">
    <xdr:from>
      <xdr:col>11</xdr:col>
      <xdr:colOff>904501</xdr:colOff>
      <xdr:row>13</xdr:row>
      <xdr:rowOff>0</xdr:rowOff>
    </xdr:from>
    <xdr:to>
      <xdr:col>34</xdr:col>
      <xdr:colOff>638464</xdr:colOff>
      <xdr:row>56</xdr:row>
      <xdr:rowOff>190500</xdr:rowOff>
    </xdr:to>
    <xdr:pic>
      <xdr:nvPicPr>
        <xdr:cNvPr id="3" name="Picture 2">
          <a:extLst>
            <a:ext uri="{FF2B5EF4-FFF2-40B4-BE49-F238E27FC236}">
              <a16:creationId xmlns:a16="http://schemas.microsoft.com/office/drawing/2014/main" id="{2EE3FA67-E163-49F9-A2B2-E71DCFCC27A0}"/>
            </a:ext>
          </a:extLst>
        </xdr:cNvPr>
        <xdr:cNvPicPr>
          <a:picLocks noChangeAspect="1"/>
        </xdr:cNvPicPr>
      </xdr:nvPicPr>
      <xdr:blipFill>
        <a:blip xmlns:r="http://schemas.openxmlformats.org/officeDocument/2006/relationships" r:embed="rId2"/>
        <a:stretch>
          <a:fillRect/>
        </a:stretch>
      </xdr:blipFill>
      <xdr:spPr>
        <a:xfrm>
          <a:off x="10858126" y="2452688"/>
          <a:ext cx="20546088" cy="9691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4294</xdr:colOff>
      <xdr:row>0</xdr:row>
      <xdr:rowOff>0</xdr:rowOff>
    </xdr:from>
    <xdr:to>
      <xdr:col>7</xdr:col>
      <xdr:colOff>142387</xdr:colOff>
      <xdr:row>4</xdr:row>
      <xdr:rowOff>35637</xdr:rowOff>
    </xdr:to>
    <xdr:pic>
      <xdr:nvPicPr>
        <xdr:cNvPr id="14" name="Picture 13">
          <a:extLst>
            <a:ext uri="{FF2B5EF4-FFF2-40B4-BE49-F238E27FC236}">
              <a16:creationId xmlns:a16="http://schemas.microsoft.com/office/drawing/2014/main" id="{1A7E59C8-63F4-4AB1-8273-43D2B620F64F}"/>
            </a:ext>
          </a:extLst>
        </xdr:cNvPr>
        <xdr:cNvPicPr>
          <a:picLocks noChangeAspect="1"/>
        </xdr:cNvPicPr>
      </xdr:nvPicPr>
      <xdr:blipFill>
        <a:blip xmlns:r="http://schemas.openxmlformats.org/officeDocument/2006/relationships" r:embed="rId1"/>
        <a:stretch>
          <a:fillRect/>
        </a:stretch>
      </xdr:blipFill>
      <xdr:spPr>
        <a:xfrm>
          <a:off x="8525837" y="0"/>
          <a:ext cx="2113649" cy="968538"/>
        </a:xfrm>
        <a:prstGeom prst="rect">
          <a:avLst/>
        </a:prstGeom>
      </xdr:spPr>
    </xdr:pic>
    <xdr:clientData/>
  </xdr:twoCellAnchor>
  <xdr:twoCellAnchor editAs="oneCell">
    <xdr:from>
      <xdr:col>0</xdr:col>
      <xdr:colOff>530411</xdr:colOff>
      <xdr:row>17</xdr:row>
      <xdr:rowOff>0</xdr:rowOff>
    </xdr:from>
    <xdr:to>
      <xdr:col>7</xdr:col>
      <xdr:colOff>78076</xdr:colOff>
      <xdr:row>27</xdr:row>
      <xdr:rowOff>7471</xdr:rowOff>
    </xdr:to>
    <xdr:pic>
      <xdr:nvPicPr>
        <xdr:cNvPr id="9" name="Picture 8">
          <a:extLst>
            <a:ext uri="{FF2B5EF4-FFF2-40B4-BE49-F238E27FC236}">
              <a16:creationId xmlns:a16="http://schemas.microsoft.com/office/drawing/2014/main" id="{232E46E4-3C55-4AEB-82FE-1C755E9DDE63}"/>
            </a:ext>
          </a:extLst>
        </xdr:cNvPr>
        <xdr:cNvPicPr>
          <a:picLocks noChangeAspect="1"/>
        </xdr:cNvPicPr>
      </xdr:nvPicPr>
      <xdr:blipFill>
        <a:blip xmlns:r="http://schemas.openxmlformats.org/officeDocument/2006/relationships" r:embed="rId2"/>
        <a:stretch>
          <a:fillRect/>
        </a:stretch>
      </xdr:blipFill>
      <xdr:spPr>
        <a:xfrm>
          <a:off x="530411" y="13230412"/>
          <a:ext cx="10036371" cy="6342529"/>
        </a:xfrm>
        <a:prstGeom prst="rect">
          <a:avLst/>
        </a:prstGeom>
      </xdr:spPr>
    </xdr:pic>
    <xdr:clientData/>
  </xdr:twoCellAnchor>
  <xdr:twoCellAnchor>
    <xdr:from>
      <xdr:col>0</xdr:col>
      <xdr:colOff>385655</xdr:colOff>
      <xdr:row>0</xdr:row>
      <xdr:rowOff>165100</xdr:rowOff>
    </xdr:from>
    <xdr:to>
      <xdr:col>1</xdr:col>
      <xdr:colOff>1708150</xdr:colOff>
      <xdr:row>3</xdr:row>
      <xdr:rowOff>117768</xdr:rowOff>
    </xdr:to>
    <xdr:grpSp>
      <xdr:nvGrpSpPr>
        <xdr:cNvPr id="4" name="Group 3">
          <a:extLst>
            <a:ext uri="{FF2B5EF4-FFF2-40B4-BE49-F238E27FC236}">
              <a16:creationId xmlns:a16="http://schemas.microsoft.com/office/drawing/2014/main" id="{2616B832-70A5-9A57-F704-F248E9646177}"/>
            </a:ext>
          </a:extLst>
        </xdr:cNvPr>
        <xdr:cNvGrpSpPr/>
      </xdr:nvGrpSpPr>
      <xdr:grpSpPr>
        <a:xfrm>
          <a:off x="385655" y="165100"/>
          <a:ext cx="1852907" cy="632492"/>
          <a:chOff x="385655" y="165100"/>
          <a:chExt cx="1855895" cy="625768"/>
        </a:xfrm>
      </xdr:grpSpPr>
      <xdr:pic>
        <xdr:nvPicPr>
          <xdr:cNvPr id="18" name="Picture 6">
            <a:extLst>
              <a:ext uri="{FF2B5EF4-FFF2-40B4-BE49-F238E27FC236}">
                <a16:creationId xmlns:a16="http://schemas.microsoft.com/office/drawing/2014/main" id="{6D2341DE-41D4-2F8C-FA9C-D43C894D8115}"/>
              </a:ext>
            </a:extLst>
          </xdr:cNvPr>
          <xdr:cNvPicPr>
            <a:picLocks noChangeAspect="1"/>
          </xdr:cNvPicPr>
        </xdr:nvPicPr>
        <xdr:blipFill>
          <a:blip xmlns:r="http://schemas.openxmlformats.org/officeDocument/2006/relationships" r:embed="rId3"/>
          <a:stretch>
            <a:fillRect/>
          </a:stretch>
        </xdr:blipFill>
        <xdr:spPr>
          <a:xfrm>
            <a:off x="1667840" y="196478"/>
            <a:ext cx="573710" cy="571232"/>
          </a:xfrm>
          <a:prstGeom prst="rect">
            <a:avLst/>
          </a:prstGeom>
        </xdr:spPr>
      </xdr:pic>
      <xdr:pic>
        <xdr:nvPicPr>
          <xdr:cNvPr id="2" name="Picture 1">
            <a:extLst>
              <a:ext uri="{FF2B5EF4-FFF2-40B4-BE49-F238E27FC236}">
                <a16:creationId xmlns:a16="http://schemas.microsoft.com/office/drawing/2014/main" id="{704416C2-B462-C37A-5055-249BFAFCEF93}"/>
              </a:ext>
            </a:extLst>
          </xdr:cNvPr>
          <xdr:cNvPicPr>
            <a:picLocks noChangeAspect="1"/>
          </xdr:cNvPicPr>
        </xdr:nvPicPr>
        <xdr:blipFill rotWithShape="1">
          <a:blip xmlns:r="http://schemas.openxmlformats.org/officeDocument/2006/relationships" r:embed="rId4" cstate="print">
            <a:alphaModFix/>
            <a:extLst>
              <a:ext uri="{28A0092B-C50C-407E-A947-70E740481C1C}">
                <a14:useLocalDpi xmlns:a14="http://schemas.microsoft.com/office/drawing/2010/main" val="0"/>
              </a:ext>
            </a:extLst>
          </a:blip>
          <a:srcRect l="62240" t="15022" r="16560" b="12446"/>
          <a:stretch/>
        </xdr:blipFill>
        <xdr:spPr bwMode="auto">
          <a:xfrm>
            <a:off x="385655" y="165100"/>
            <a:ext cx="1258570" cy="625768"/>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8522</xdr:colOff>
      <xdr:row>149</xdr:row>
      <xdr:rowOff>399143</xdr:rowOff>
    </xdr:from>
    <xdr:to>
      <xdr:col>16</xdr:col>
      <xdr:colOff>846667</xdr:colOff>
      <xdr:row>149</xdr:row>
      <xdr:rowOff>1705426</xdr:rowOff>
    </xdr:to>
    <xdr:sp macro="" textlink="">
      <xdr:nvSpPr>
        <xdr:cNvPr id="33" name="Rectangle 12">
          <a:extLst>
            <a:ext uri="{FF2B5EF4-FFF2-40B4-BE49-F238E27FC236}">
              <a16:creationId xmlns:a16="http://schemas.microsoft.com/office/drawing/2014/main" id="{18992CA8-9696-472C-A27D-98A0799B102B}"/>
            </a:ext>
          </a:extLst>
        </xdr:cNvPr>
        <xdr:cNvSpPr/>
      </xdr:nvSpPr>
      <xdr:spPr>
        <a:xfrm>
          <a:off x="547310" y="63225658"/>
          <a:ext cx="15183372" cy="13062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1479303</xdr:colOff>
      <xdr:row>166</xdr:row>
      <xdr:rowOff>85478</xdr:rowOff>
    </xdr:from>
    <xdr:to>
      <xdr:col>12</xdr:col>
      <xdr:colOff>301748</xdr:colOff>
      <xdr:row>184</xdr:row>
      <xdr:rowOff>397</xdr:rowOff>
    </xdr:to>
    <xdr:pic>
      <xdr:nvPicPr>
        <xdr:cNvPr id="2" name="Picture 1" descr="A diagram of a house&#10;&#10;Description automatically generated">
          <a:extLst>
            <a:ext uri="{FF2B5EF4-FFF2-40B4-BE49-F238E27FC236}">
              <a16:creationId xmlns:a16="http://schemas.microsoft.com/office/drawing/2014/main" id="{6BBCC126-2A19-E6C3-1B2A-4F5298DC0E7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21"/>
        <a:stretch/>
      </xdr:blipFill>
      <xdr:spPr bwMode="auto">
        <a:xfrm>
          <a:off x="3930403" y="66417578"/>
          <a:ext cx="8233145" cy="3710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52</xdr:row>
      <xdr:rowOff>52983</xdr:rowOff>
    </xdr:from>
    <xdr:to>
      <xdr:col>16</xdr:col>
      <xdr:colOff>741182</xdr:colOff>
      <xdr:row>52</xdr:row>
      <xdr:rowOff>1127397</xdr:rowOff>
    </xdr:to>
    <xdr:pic>
      <xdr:nvPicPr>
        <xdr:cNvPr id="5" name="Picture 4">
          <a:extLst>
            <a:ext uri="{FF2B5EF4-FFF2-40B4-BE49-F238E27FC236}">
              <a16:creationId xmlns:a16="http://schemas.microsoft.com/office/drawing/2014/main" id="{5207FAF7-5607-C9C2-FB36-FE80A413EE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18714" y="20155269"/>
          <a:ext cx="7590972" cy="1078224"/>
        </a:xfrm>
        <a:prstGeom prst="rect">
          <a:avLst/>
        </a:prstGeom>
      </xdr:spPr>
    </xdr:pic>
    <xdr:clientData/>
  </xdr:twoCellAnchor>
  <xdr:twoCellAnchor>
    <xdr:from>
      <xdr:col>1</xdr:col>
      <xdr:colOff>9072</xdr:colOff>
      <xdr:row>106</xdr:row>
      <xdr:rowOff>7256</xdr:rowOff>
    </xdr:from>
    <xdr:to>
      <xdr:col>16</xdr:col>
      <xdr:colOff>855435</xdr:colOff>
      <xdr:row>106</xdr:row>
      <xdr:rowOff>1115786</xdr:rowOff>
    </xdr:to>
    <xdr:grpSp>
      <xdr:nvGrpSpPr>
        <xdr:cNvPr id="27" name="Group 9">
          <a:extLst>
            <a:ext uri="{FF2B5EF4-FFF2-40B4-BE49-F238E27FC236}">
              <a16:creationId xmlns:a16="http://schemas.microsoft.com/office/drawing/2014/main" id="{60EF3495-86C2-29E2-2D60-C319C141E28B}"/>
            </a:ext>
          </a:extLst>
        </xdr:cNvPr>
        <xdr:cNvGrpSpPr/>
      </xdr:nvGrpSpPr>
      <xdr:grpSpPr>
        <a:xfrm>
          <a:off x="540163" y="43614438"/>
          <a:ext cx="15128090" cy="1108530"/>
          <a:chOff x="925286" y="43595470"/>
          <a:chExt cx="15094856" cy="1108530"/>
        </a:xfrm>
      </xdr:grpSpPr>
      <xdr:pic>
        <xdr:nvPicPr>
          <xdr:cNvPr id="28" name="Picture 6">
            <a:extLst>
              <a:ext uri="{FF2B5EF4-FFF2-40B4-BE49-F238E27FC236}">
                <a16:creationId xmlns:a16="http://schemas.microsoft.com/office/drawing/2014/main" id="{317CCC7D-866D-3228-3A0F-6007452706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26856" y="43597285"/>
            <a:ext cx="7772400" cy="1103994"/>
          </a:xfrm>
          <a:prstGeom prst="rect">
            <a:avLst/>
          </a:prstGeom>
        </xdr:spPr>
      </xdr:pic>
      <xdr:sp macro="" textlink="">
        <xdr:nvSpPr>
          <xdr:cNvPr id="29" name="Rectangle 7">
            <a:extLst>
              <a:ext uri="{FF2B5EF4-FFF2-40B4-BE49-F238E27FC236}">
                <a16:creationId xmlns:a16="http://schemas.microsoft.com/office/drawing/2014/main" id="{3620B6D3-5FD1-2CBE-9493-EB7AF2525116}"/>
              </a:ext>
            </a:extLst>
          </xdr:cNvPr>
          <xdr:cNvSpPr/>
        </xdr:nvSpPr>
        <xdr:spPr>
          <a:xfrm>
            <a:off x="925286" y="43597286"/>
            <a:ext cx="3693625" cy="11067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Rectangle 8">
            <a:extLst>
              <a:ext uri="{FF2B5EF4-FFF2-40B4-BE49-F238E27FC236}">
                <a16:creationId xmlns:a16="http://schemas.microsoft.com/office/drawing/2014/main" id="{B5363A68-9111-4DD2-ACE8-76678C9ADC88}"/>
              </a:ext>
            </a:extLst>
          </xdr:cNvPr>
          <xdr:cNvSpPr/>
        </xdr:nvSpPr>
        <xdr:spPr>
          <a:xfrm>
            <a:off x="12064999" y="43595470"/>
            <a:ext cx="3955143" cy="11067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2</xdr:col>
      <xdr:colOff>1727680</xdr:colOff>
      <xdr:row>149</xdr:row>
      <xdr:rowOff>482826</xdr:rowOff>
    </xdr:from>
    <xdr:to>
      <xdr:col>13</xdr:col>
      <xdr:colOff>439934</xdr:colOff>
      <xdr:row>150</xdr:row>
      <xdr:rowOff>20695</xdr:rowOff>
    </xdr:to>
    <xdr:pic>
      <xdr:nvPicPr>
        <xdr:cNvPr id="11" name="Picture 11">
          <a:extLst>
            <a:ext uri="{FF2B5EF4-FFF2-40B4-BE49-F238E27FC236}">
              <a16:creationId xmlns:a16="http://schemas.microsoft.com/office/drawing/2014/main" id="{FE7D624E-2C82-6E7A-2E17-5F51686E0A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796241" y="63309341"/>
          <a:ext cx="9481219" cy="12333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470648</xdr:colOff>
      <xdr:row>50</xdr:row>
      <xdr:rowOff>67237</xdr:rowOff>
    </xdr:from>
    <xdr:to>
      <xdr:col>5</xdr:col>
      <xdr:colOff>817283</xdr:colOff>
      <xdr:row>59</xdr:row>
      <xdr:rowOff>86040</xdr:rowOff>
    </xdr:to>
    <xdr:pic>
      <xdr:nvPicPr>
        <xdr:cNvPr id="7" name="Picture 1">
          <a:extLst>
            <a:ext uri="{FF2B5EF4-FFF2-40B4-BE49-F238E27FC236}">
              <a16:creationId xmlns:a16="http://schemas.microsoft.com/office/drawing/2014/main" id="{CF54CFFB-BC02-4000-ABF5-087EA1068C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89" r="2889"/>
        <a:stretch/>
      </xdr:blipFill>
      <xdr:spPr bwMode="auto">
        <a:xfrm>
          <a:off x="2712198" y="24730637"/>
          <a:ext cx="4804335" cy="2247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726375</xdr:colOff>
      <xdr:row>1</xdr:row>
      <xdr:rowOff>91286</xdr:rowOff>
    </xdr:from>
    <xdr:to>
      <xdr:col>6</xdr:col>
      <xdr:colOff>1383225</xdr:colOff>
      <xdr:row>4</xdr:row>
      <xdr:rowOff>140429</xdr:rowOff>
    </xdr:to>
    <xdr:grpSp>
      <xdr:nvGrpSpPr>
        <xdr:cNvPr id="2" name="Group 1">
          <a:extLst>
            <a:ext uri="{FF2B5EF4-FFF2-40B4-BE49-F238E27FC236}">
              <a16:creationId xmlns:a16="http://schemas.microsoft.com/office/drawing/2014/main" id="{7D96BAF3-1A69-4860-842B-A8E68D59D609}"/>
            </a:ext>
          </a:extLst>
        </xdr:cNvPr>
        <xdr:cNvGrpSpPr>
          <a:grpSpLocks noChangeAspect="1"/>
        </xdr:cNvGrpSpPr>
      </xdr:nvGrpSpPr>
      <xdr:grpSpPr>
        <a:xfrm>
          <a:off x="7430161" y="671857"/>
          <a:ext cx="2144564" cy="720429"/>
          <a:chOff x="385655" y="165100"/>
          <a:chExt cx="1855895" cy="625768"/>
        </a:xfrm>
      </xdr:grpSpPr>
      <xdr:pic>
        <xdr:nvPicPr>
          <xdr:cNvPr id="3" name="Picture 6">
            <a:extLst>
              <a:ext uri="{FF2B5EF4-FFF2-40B4-BE49-F238E27FC236}">
                <a16:creationId xmlns:a16="http://schemas.microsoft.com/office/drawing/2014/main" id="{5AAA16BC-CF21-5A62-F9A4-6898D39A6A1C}"/>
              </a:ext>
            </a:extLst>
          </xdr:cNvPr>
          <xdr:cNvPicPr>
            <a:picLocks noChangeAspect="1"/>
          </xdr:cNvPicPr>
        </xdr:nvPicPr>
        <xdr:blipFill>
          <a:blip xmlns:r="http://schemas.openxmlformats.org/officeDocument/2006/relationships" r:embed="rId2"/>
          <a:stretch>
            <a:fillRect/>
          </a:stretch>
        </xdr:blipFill>
        <xdr:spPr>
          <a:xfrm>
            <a:off x="1667840" y="196478"/>
            <a:ext cx="573710" cy="571232"/>
          </a:xfrm>
          <a:prstGeom prst="rect">
            <a:avLst/>
          </a:prstGeom>
        </xdr:spPr>
      </xdr:pic>
      <xdr:pic>
        <xdr:nvPicPr>
          <xdr:cNvPr id="4" name="Picture 3">
            <a:extLst>
              <a:ext uri="{FF2B5EF4-FFF2-40B4-BE49-F238E27FC236}">
                <a16:creationId xmlns:a16="http://schemas.microsoft.com/office/drawing/2014/main" id="{0FB75672-0269-23D1-DCBB-7BD56C1B60F3}"/>
              </a:ext>
            </a:extLst>
          </xdr:cNvPr>
          <xdr:cNvPicPr>
            <a:picLocks noChangeAspect="1"/>
          </xdr:cNvPicPr>
        </xdr:nvPicPr>
        <xdr:blipFill rotWithShape="1">
          <a:blip xmlns:r="http://schemas.openxmlformats.org/officeDocument/2006/relationships" r:embed="rId3" cstate="print">
            <a:alphaModFix/>
            <a:extLst>
              <a:ext uri="{28A0092B-C50C-407E-A947-70E740481C1C}">
                <a14:useLocalDpi xmlns:a14="http://schemas.microsoft.com/office/drawing/2010/main" val="0"/>
              </a:ext>
            </a:extLst>
          </a:blip>
          <a:srcRect l="62240" t="15022" r="16560" b="12446"/>
          <a:stretch/>
        </xdr:blipFill>
        <xdr:spPr bwMode="auto">
          <a:xfrm>
            <a:off x="385655" y="165100"/>
            <a:ext cx="1258570" cy="625768"/>
          </a:xfrm>
          <a:prstGeom prst="rect">
            <a:avLst/>
          </a:prstGeom>
          <a:noFill/>
          <a:ln>
            <a:noFill/>
          </a:ln>
          <a:extLst>
            <a:ext uri="{53640926-AAD7-44D8-BBD7-CCE9431645EC}">
              <a14:shadowObscured xmlns:a14="http://schemas.microsoft.com/office/drawing/2010/main"/>
            </a:ext>
          </a:extLst>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CC71B1D-4ED3-4894-A512-99A426C60CB3}" name="Table6" displayName="Table6" ref="A2:B53" totalsRowShown="0" headerRowDxfId="412" dataDxfId="410" headerRowBorderDxfId="411" tableBorderDxfId="409" totalsRowBorderDxfId="408">
  <autoFilter ref="A2:B53" xr:uid="{DCC71B1D-4ED3-4894-A512-99A426C60CB3}"/>
  <sortState xmlns:xlrd2="http://schemas.microsoft.com/office/spreadsheetml/2017/richdata2" ref="A3:B53">
    <sortCondition ref="A2:A53"/>
  </sortState>
  <tableColumns count="2">
    <tableColumn id="1" xr3:uid="{9B4E9FB5-81F0-44A4-BC62-74085BA045C9}" name="Term" dataDxfId="407"/>
    <tableColumn id="2" xr3:uid="{36754773-576C-455C-9B20-93DB581D005A}" name="Definition" dataDxfId="406"/>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77149CC-1ADB-4BBB-BF38-481F36EB88D5}" name="VEMatrix" displayName="VEMatrix" ref="A2:F7" totalsRowShown="0" tableBorderDxfId="289">
  <autoFilter ref="A2:F7" xr:uid="{077149CC-1ADB-4BBB-BF38-481F36EB88D5}"/>
  <tableColumns count="6">
    <tableColumn id="1" xr3:uid="{5F3A4281-EFED-4034-A828-A29702F58B9F}" name="Vulnerability"/>
    <tableColumn id="6" xr3:uid="{65D23CBF-A078-4239-91C7-829F5E029929}" name="N/A" dataDxfId="288"/>
    <tableColumn id="2" xr3:uid="{FB84E173-E75E-449E-8670-D9E354194527}" name="L" dataDxfId="287"/>
    <tableColumn id="3" xr3:uid="{0A798353-2B1E-4424-A82D-EAB05D29252B}" name="M"/>
    <tableColumn id="4" xr3:uid="{F89A6E64-9423-4A74-9D46-2D7431AC5745}" name="H"/>
    <tableColumn id="5" xr3:uid="{09E77603-8B3F-4A94-8EDE-1FDE8367A5D7}" name="E"/>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91708C4-4939-4066-95B2-0FA4E82DBD3A}" name="RatingOrder" displayName="RatingOrder" ref="A9:J14" totalsRowShown="0" headerRowDxfId="286" headerRowBorderDxfId="285" tableBorderDxfId="284" totalsRowBorderDxfId="283">
  <autoFilter ref="A9:J14" xr:uid="{F91708C4-4939-4066-95B2-0FA4E82DBD3A}"/>
  <tableColumns count="10">
    <tableColumn id="1" xr3:uid="{45AC2CE7-DF32-4E48-848D-6502BC9EDC4A}" name="Rating Order" dataDxfId="282"/>
    <tableColumn id="2" xr3:uid="{85F1C966-6734-4AA9-B47A-5AC7E6C7FB00}" name="Rating Score" dataDxfId="281"/>
    <tableColumn id="3" xr3:uid="{13E88CF2-DA00-4B32-BEE0-4FEB52AD50F4}" name="Present Threshold Lower" dataDxfId="280"/>
    <tableColumn id="4" xr3:uid="{D7F1FF35-128D-4D33-9C06-41B82C60D0DF}" name="Present Threshold Upper" dataDxfId="279"/>
    <tableColumn id="5" xr3:uid="{AF108598-4CB2-4DE2-B2E2-16B34FE0B948}" name="2050 Threshold Lower" dataDxfId="278"/>
    <tableColumn id="6" xr3:uid="{9A12C405-D10C-4AEA-88D1-BCDC3F2FE5FF}" name="2050 Threshold Upper" dataDxfId="277"/>
    <tableColumn id="7" xr3:uid="{FC0DC09B-0F46-4DC8-9BFD-2265D6392010}" name="2100 Threshold Lower" dataDxfId="276"/>
    <tableColumn id="8" xr3:uid="{FFD47138-D194-47FA-812E-5CCA4B1EE432}" name="2100 Threshold Upper" dataDxfId="275"/>
    <tableColumn id="9" xr3:uid="{B48145B4-10DF-4048-A491-DB75AF2B8561}" name="Future Threshold Lower" dataDxfId="274"/>
    <tableColumn id="10" xr3:uid="{C1509E36-7788-48FF-87A3-7BBE908BD0B0}" name="Future Threshold Upper" dataDxfId="27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A7A8F2C-BF3C-4217-9524-1C09C76E044C}" name="Exp_Shift" displayName="Exp_Shift" ref="A16:B21" totalsRowShown="0" headerRowDxfId="272" headerRowBorderDxfId="271">
  <autoFilter ref="A16:B21" xr:uid="{8A7A8F2C-BF3C-4217-9524-1C09C76E044C}"/>
  <tableColumns count="2">
    <tableColumn id="1" xr3:uid="{FA13EBBC-8BE5-4351-BA26-795FCD996CD9}" name="Rating" dataDxfId="270"/>
    <tableColumn id="2" xr3:uid="{5AECDA20-3279-483E-92C1-3A8CB37E3264}" name="Number" dataDxfId="26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B2AED8A-A544-4DC7-9A15-FBC489E35925}" name="Exp_Combos" displayName="Exp_Combos" ref="H57:AE172" totalsRowShown="0" headerRowDxfId="405">
  <autoFilter ref="H57:AE172" xr:uid="{9B2AED8A-A544-4DC7-9A15-FBC489E35925}"/>
  <tableColumns count="24">
    <tableColumn id="1" xr3:uid="{A0BCB731-5536-4C39-9766-9D7FFC4620B8}" name="ID" dataDxfId="404"/>
    <tableColumn id="2" xr3:uid="{C74FC4F9-E4AC-4D3A-8979-08F80046E5A6}" name="Features" dataDxfId="403"/>
    <tableColumn id="3" xr3:uid="{034DCDBF-16F1-46D0-A4FF-AC22FD96DB98}" name="Elements at Risk" dataDxfId="402"/>
    <tableColumn id="4" xr3:uid="{8D796C41-AAFD-40D5-8DA7-C59370E36B83}" name="EP - Coastal Inundation" dataDxfId="401"/>
    <tableColumn id="5" xr3:uid="{DC3833BC-51BA-4644-B47B-CA0601B6A1BA}" name="EP - Extreme Rainfall"/>
    <tableColumn id="6" xr3:uid="{E71F4659-759E-4843-BDEF-DDD21CDF3645}" name="EP - Tropical Cyclone"/>
    <tableColumn id="7" xr3:uid="{DCC59D7B-90F1-473B-AD53-28836843E0F2}" name="EP - Drought"/>
    <tableColumn id="8" xr3:uid="{FA301ECA-58C1-4A06-AC39-C0B1CFC86104}" name="EP - Marine Heat Waves"/>
    <tableColumn id="9" xr3:uid="{5CA2FE36-437E-407F-925B-B779F690364E}" name="EP - Ocean Acidification"/>
    <tableColumn id="10" xr3:uid="{09F97DCC-8CEE-4985-8AE4-FB515E574B33}" name="EP - Extreme Temperature" dataDxfId="400"/>
    <tableColumn id="11" xr3:uid="{D77BCFF1-C365-4923-857D-BBD87757811F}" name="E2050 - Coastal Inundation" dataDxfId="399"/>
    <tableColumn id="12" xr3:uid="{4B348D14-053D-4DF0-84AE-7E83839BF79D}" name="E2050 - Extreme Rainfall"/>
    <tableColumn id="13" xr3:uid="{9DBF219D-47B7-43F7-AD20-6960C6D58892}" name="E2050 - Tropical Cyclone"/>
    <tableColumn id="14" xr3:uid="{1C2399C2-97A1-4599-92B7-078F4DFBB01E}" name="E2050 - Drought"/>
    <tableColumn id="15" xr3:uid="{8F1258FB-FE2E-4104-870B-211B0CB8F5E9}" name="E2050 - Marine Heat Waves"/>
    <tableColumn id="16" xr3:uid="{2BE2EC9A-55FA-4EC8-BD0F-8BFD47567A8A}" name="E2050 - Ocean Acidification"/>
    <tableColumn id="17" xr3:uid="{9A73CDDA-A625-4D63-A6E4-36EBA90BF0AC}" name="E2050 - Extreme Temperature" dataDxfId="398"/>
    <tableColumn id="18" xr3:uid="{E47769CE-8D07-466F-81D9-E247941867DF}" name="E2100 - Coastal Inundation" dataDxfId="397"/>
    <tableColumn id="19" xr3:uid="{9F0286C7-59FA-4262-9DA7-47F080B6B1B6}" name="E2100 - Extreme Rainfall"/>
    <tableColumn id="20" xr3:uid="{07B0A0EE-7F1D-4D8F-BC71-25377E41F375}" name="E2100 - Tropical Cyclone"/>
    <tableColumn id="21" xr3:uid="{5CDBD4E5-DE0F-4FBD-BFD5-3CC224D62ADF}" name="E2100 - Drought"/>
    <tableColumn id="22" xr3:uid="{FE331E67-B839-4776-B54E-39CE1A1336F1}" name="E2100 - Marine Heat Waves"/>
    <tableColumn id="23" xr3:uid="{F2DCE333-AE75-456C-9DBF-77D9BACE0671}" name="E2100 - Ocean Acidification"/>
    <tableColumn id="24" xr3:uid="{D203D47A-BB62-4775-BAFB-D14311162BA6}" name="E2100 - Extreme Temperature" dataDxfId="39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D5DAE7-44EC-4CE9-9364-42E5507001B6}" name="Init_VEValues" displayName="Init_VEValues" ref="A30:AE53" totalsRowShown="0" headerRowDxfId="395" tableBorderDxfId="394">
  <autoFilter ref="A30:AE53" xr:uid="{A3D5DAE7-44EC-4CE9-9364-42E5507001B6}"/>
  <tableColumns count="31">
    <tableColumn id="1" xr3:uid="{FF2E5467-6A5E-48AD-B3E4-D0EA133792DE}" name="ID" dataDxfId="393"/>
    <tableColumn id="2" xr3:uid="{549FF269-08F1-468D-AD95-E20FA8AF4D26}" name="Features" dataDxfId="392"/>
    <tableColumn id="3" xr3:uid="{CF49383E-8843-4835-BDEB-2D4E146BB55D}" name="Elements at Risk" dataDxfId="391"/>
    <tableColumn id="4" xr3:uid="{F8F0AC9A-4ECF-4D95-AC0D-B48F77BD4C0C}" name="V - Coastal Inundation" dataDxfId="390"/>
    <tableColumn id="5" xr3:uid="{D330A639-6CAE-4DDA-A651-0D6E7E31D09A}" name="V - Extreme Rainfall"/>
    <tableColumn id="6" xr3:uid="{A3E2E53E-7100-4CA7-B782-AE77126F96B6}" name="V - Tropical Cyclone"/>
    <tableColumn id="7" xr3:uid="{A02357ED-4515-4DBB-B538-35008E56508E}" name="V - Drought"/>
    <tableColumn id="8" xr3:uid="{DDF57520-3780-4A7B-86F3-AA42C099CDAC}" name="V - Marine Heat Waves"/>
    <tableColumn id="9" xr3:uid="{7F0440CA-6DA6-4596-B417-F65029F855A3}" name="V - Ocean Acidification"/>
    <tableColumn id="10" xr3:uid="{700BC14E-304C-4E75-A872-4C224F9A4C9B}" name="V - Extreme Temperature" dataDxfId="389"/>
    <tableColumn id="11" xr3:uid="{BA4D6AA7-914D-4816-81EF-05A58771DF38}" name="EP - Coastal Inundation" dataDxfId="388"/>
    <tableColumn id="12" xr3:uid="{9BF8BA7A-DB03-4B92-8D60-A8015FA1AAC4}" name="EP - Extreme Rainfall"/>
    <tableColumn id="13" xr3:uid="{78ED7450-A854-44DD-BC6C-5256FB42782E}" name="EP - Tropical Cyclone"/>
    <tableColumn id="14" xr3:uid="{D78C7FB9-0BF0-4511-A640-03CC226DEAA1}" name="EP - Drought"/>
    <tableColumn id="15" xr3:uid="{AF16D0D6-CA9A-4633-ADFE-C29F663803B0}" name="EP - Marine Heat Waves"/>
    <tableColumn id="16" xr3:uid="{08187BB7-51E8-48A7-8380-81137C418113}" name="EP - Ocean Acidification"/>
    <tableColumn id="17" xr3:uid="{7072362E-1D34-4CF7-92C5-59BBCB4A4E55}" name="EP - Extreme Temperature" dataDxfId="387"/>
    <tableColumn id="18" xr3:uid="{006F24B4-028B-4CA6-9C18-CA3D38CE0D0B}" name="E2050 - Coastal Inundation" dataDxfId="386"/>
    <tableColumn id="19" xr3:uid="{8A2F2530-B2F3-466B-A678-21097429E178}" name="E2050 - Extreme Rainfall"/>
    <tableColumn id="20" xr3:uid="{3BCEE882-5546-4508-899F-08D96B6271AE}" name="E2050 - Tropical Cyclone"/>
    <tableColumn id="21" xr3:uid="{1E30C05C-1133-4A06-8376-F9DBB76E3631}" name="E2050 - Drought"/>
    <tableColumn id="22" xr3:uid="{20ACD62D-72A7-45DB-956F-6741D490847F}" name="E2050 - Marine Heat Waves"/>
    <tableColumn id="23" xr3:uid="{8FCFCB74-A7C4-46AC-AF8C-B47D52524861}" name="E2050 - Ocean Acidification"/>
    <tableColumn id="24" xr3:uid="{3FD0CA44-19C5-4424-86A7-969AE6E7357E}" name="E2050 - Extreme Temperature" dataDxfId="385"/>
    <tableColumn id="25" xr3:uid="{837CE595-55AF-4D72-9CBE-311E22B7B263}" name="E2100 - Coastal Inundation" dataDxfId="384"/>
    <tableColumn id="26" xr3:uid="{90F3A070-5B43-4986-92A8-16310D4E10DB}" name="E2100 - Extreme Rainfall"/>
    <tableColumn id="27" xr3:uid="{EE572C52-9B3D-4192-9024-E2FAD736BA6E}" name="E2100 - Tropical Cyclone"/>
    <tableColumn id="28" xr3:uid="{09E7CAAB-351A-41AB-B39A-D4CD2170EFEE}" name="E2100 - Drought"/>
    <tableColumn id="29" xr3:uid="{531E1405-C3CB-455A-83DF-5998C2B96B52}" name="E2100 - Marine Heat Waves"/>
    <tableColumn id="30" xr3:uid="{E48B94E3-A7E4-4076-AF3D-ED5D99151021}" name="E2100 - Ocean Acidification"/>
    <tableColumn id="31" xr3:uid="{5B8ECD5C-BC21-4820-A0CE-B5D461E20D6B}" name="E2100 - Extreme Temperature" dataDxfId="38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92B8323-4A44-4074-9012-2F27C5CD391A}" name="Final_VEValues" displayName="Final_VEValues" ref="A3:AE26" totalsRowShown="0" headerRowDxfId="382" tableBorderDxfId="381">
  <autoFilter ref="A3:AE26" xr:uid="{492B8323-4A44-4074-9012-2F27C5CD391A}"/>
  <tableColumns count="31">
    <tableColumn id="31" xr3:uid="{8EA411EB-5CFE-44AB-84FA-AC73A232F602}" name="ID" dataDxfId="380"/>
    <tableColumn id="1" xr3:uid="{F4C74A1F-1A15-437A-A4A9-2468EB256EFC}" name="Features" dataDxfId="379"/>
    <tableColumn id="2" xr3:uid="{FD527894-B71F-4746-856C-7B0A902A8967}" name="Elements at Risk" dataDxfId="378"/>
    <tableColumn id="3" xr3:uid="{B224DF6E-CE49-4B24-BDE1-2F59AFC15B29}" name="V - Coastal Inundation" dataDxfId="377">
      <calculatedColumnFormula>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calculatedColumnFormula>
    </tableColumn>
    <tableColumn id="4" xr3:uid="{355A978A-6A2F-4699-8B55-0A13429ACE7D}" name="V - Extreme Rainfall" dataDxfId="376">
      <calculatedColumnFormula>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calculatedColumnFormula>
    </tableColumn>
    <tableColumn id="5" xr3:uid="{A2072C20-3EB3-4BD8-9409-0B93978312D4}" name="V - Tropical Cyclone" dataDxfId="375">
      <calculatedColumnFormula>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calculatedColumnFormula>
    </tableColumn>
    <tableColumn id="6" xr3:uid="{907FA36D-A3B1-45CE-94BA-0D9D75FA7797}" name="V - Drought" dataDxfId="374">
      <calculatedColumnFormula>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calculatedColumnFormula>
    </tableColumn>
    <tableColumn id="7" xr3:uid="{2C3F1E79-7ADD-41BE-BFAE-147B8FD5EBBB}" name="V - Marine Heat Waves" dataDxfId="373">
      <calculatedColumnFormula>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calculatedColumnFormula>
    </tableColumn>
    <tableColumn id="8" xr3:uid="{168ED99A-3D2D-4138-9ED1-D4D0BD1D5917}" name="V - Ocean Acidification" dataDxfId="372">
      <calculatedColumnFormula>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calculatedColumnFormula>
    </tableColumn>
    <tableColumn id="27" xr3:uid="{BF39D04E-7123-4719-A454-E32D5CCB1969}" name="V - Extreme Temperature" dataDxfId="371">
      <calculatedColumnFormula>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calculatedColumnFormula>
    </tableColumn>
    <tableColumn id="9" xr3:uid="{7706D0CF-B141-47CF-90F1-3571FD68F486}" name="EP - Coastal Inundation" dataDxfId="370">
      <calculatedColumnFormula array="1">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calculatedColumnFormula>
    </tableColumn>
    <tableColumn id="10" xr3:uid="{868F75DC-D40F-4477-A307-27C24F105C7D}" name="EP - Extreme Rainfall" dataDxfId="369">
      <calculatedColumnFormula array="1">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calculatedColumnFormula>
    </tableColumn>
    <tableColumn id="11" xr3:uid="{D34557B0-FE00-47F3-9FF8-6C8D3866F4D8}" name="EP - Tropical Cyclone" dataDxfId="368">
      <calculatedColumnFormula array="1">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calculatedColumnFormula>
    </tableColumn>
    <tableColumn id="12" xr3:uid="{C3BB60A1-22FD-4459-8AA6-11230F57B8CE}" name="EP - Drought" dataDxfId="367">
      <calculatedColumnFormula array="1">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calculatedColumnFormula>
    </tableColumn>
    <tableColumn id="13" xr3:uid="{8981D95A-9308-458D-83CE-4CEB41063E50}" name="EP - Marine Heat Waves" dataDxfId="366">
      <calculatedColumnFormula array="1">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calculatedColumnFormula>
    </tableColumn>
    <tableColumn id="14" xr3:uid="{0CCF8D91-82CD-4F63-9B40-17E0D47F9DCA}" name="EP - Ocean Acidification" dataDxfId="365">
      <calculatedColumnFormula array="1">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calculatedColumnFormula>
    </tableColumn>
    <tableColumn id="28" xr3:uid="{8AE5D8A1-1885-4BCF-BBDD-46865334A137}" name="EP - Extreme Temperature" dataDxfId="364">
      <calculatedColumnFormula array="1">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calculatedColumnFormula>
    </tableColumn>
    <tableColumn id="15" xr3:uid="{D0757377-7140-465E-AAC9-498A36A5E4C5}" name="E2050 - Coastal Inundation" dataDxfId="363">
      <calculatedColumnFormula array="1">_xlfn.XLOOKUP(1,(Exp_Combos[Elements at Risk]=Final_VEValues[[#This Row],[Elements at Risk]])*(Exp_Combos[EP - Coastal Inundation]=Final_VEValues[[#This Row],[EP - Coastal Inundation]]),Exp_Combos[E2050 - Coastal Inundation],"",0)</calculatedColumnFormula>
    </tableColumn>
    <tableColumn id="16" xr3:uid="{5D04732C-CEB7-48DC-BC3F-530FFD8F53F2}" name="E2050 - Extreme Rainfall">
      <calculatedColumnFormula array="1">_xlfn.XLOOKUP(1,(Exp_Combos[Elements at Risk]=Final_VEValues[[#This Row],[Elements at Risk]])*(Exp_Combos[EP - Extreme Rainfall]=Final_VEValues[[#This Row],[EP - Extreme Rainfall]]),Exp_Combos[E2050 - Extreme Rainfall],"",0)</calculatedColumnFormula>
    </tableColumn>
    <tableColumn id="17" xr3:uid="{97ABDE1B-2640-4D5E-A24C-093817449B61}" name="E2050 - Tropical Cyclone">
      <calculatedColumnFormula array="1">_xlfn.XLOOKUP(1,(Exp_Combos[[Elements at Risk]:[Elements at Risk]]=Final_VEValues[[#This Row],[Elements at Risk]:[Elements at Risk]])*(Exp_Combos[EP - Tropical Cyclone]=Final_VEValues[[#This Row],[EP - Tropical Cyclone]]),Exp_Combos[E2050 - Tropical Cyclone],"",0)</calculatedColumnFormula>
    </tableColumn>
    <tableColumn id="18" xr3:uid="{5CA4E124-8116-4B13-899A-354A325B8A4D}" name="E2050 - Drought">
      <calculatedColumnFormula array="1">_xlfn.XLOOKUP(1,(Exp_Combos[[Elements at Risk]:[Elements at Risk]]=Final_VEValues[[#This Row],[Elements at Risk]:[Elements at Risk]])*(Exp_Combos[EP - Drought]=Final_VEValues[[#This Row],[EP - Drought]]),Exp_Combos[E2050 - Drought],"",0)</calculatedColumnFormula>
    </tableColumn>
    <tableColumn id="19" xr3:uid="{15599F2C-1182-4FB7-BF55-1BF409F2DFD8}" name="E2050 - Marine Heat Waves">
      <calculatedColumnFormula array="1">_xlfn.XLOOKUP(1,(Exp_Combos[[Elements at Risk]:[Elements at Risk]]=Final_VEValues[[#This Row],[Elements at Risk]:[Elements at Risk]])*(Exp_Combos[EP - Marine Heat Waves]=Final_VEValues[[#This Row],[EP - Marine Heat Waves]]),Exp_Combos[E2050 - Marine Heat Waves],"",0)</calculatedColumnFormula>
    </tableColumn>
    <tableColumn id="20" xr3:uid="{F77585DD-DABE-43D6-999B-630B612922DC}" name="E2050 - Ocean Acidification">
      <calculatedColumnFormula array="1">_xlfn.XLOOKUP(1,(Exp_Combos[[Elements at Risk]:[Elements at Risk]]=Final_VEValues[[#This Row],[Elements at Risk]:[Elements at Risk]])*(Exp_Combos[EP - Ocean Acidification]=Final_VEValues[[#This Row],[EP - Ocean Acidification]]),Exp_Combos[E2050 - Ocean Acidification],"",0)</calculatedColumnFormula>
    </tableColumn>
    <tableColumn id="29" xr3:uid="{B0016A74-D04C-4704-B1EC-498B9BCCE16F}" name="E2050 - Extreme Temperature" dataDxfId="362">
      <calculatedColumnFormula array="1">_xlfn.XLOOKUP(1,(Exp_Combos[[Elements at Risk]:[Elements at Risk]]=Final_VEValues[[#This Row],[Elements at Risk]:[Elements at Risk]])*(Exp_Combos[EP - Extreme Temperature]=Final_VEValues[[#This Row],[EP - Extreme Temperature]]),Exp_Combos[E2050 - Extreme Temperature],"",0)</calculatedColumnFormula>
    </tableColumn>
    <tableColumn id="21" xr3:uid="{AF8A3607-4795-44AC-9131-6AF3C9D72E70}" name="E2100 - Coastal Inundation" dataDxfId="361">
      <calculatedColumnFormula array="1">_xlfn.XLOOKUP(1,(Exp_Combos[[Elements at Risk]:[Elements at Risk]]=Final_VEValues[[#This Row],[Elements at Risk]:[Elements at Risk]])*(Exp_Combos[EP - Coastal Inundation]=Final_VEValues[[#This Row],[EP - Coastal Inundation]]),Exp_Combos[E2100 - Coastal Inundation],"",0)</calculatedColumnFormula>
    </tableColumn>
    <tableColumn id="22" xr3:uid="{6576CD50-603F-49E0-840D-BD6532C9924C}" name="E2100 - Extreme Rainfall">
      <calculatedColumnFormula array="1">_xlfn.XLOOKUP(1,(Exp_Combos[[Elements at Risk]:[Elements at Risk]]=Final_VEValues[[#This Row],[Elements at Risk]:[Elements at Risk]])*(Exp_Combos[EP - Extreme Rainfall]=Final_VEValues[[#This Row],[EP - Extreme Rainfall]]),Exp_Combos[E2100 - Extreme Rainfall],"",0)</calculatedColumnFormula>
    </tableColumn>
    <tableColumn id="23" xr3:uid="{DE961420-BCD7-4EC6-9C4F-B669CD31BFE1}" name="E2100 - Tropical Cyclone">
      <calculatedColumnFormula array="1">_xlfn.XLOOKUP(1,(Exp_Combos[[Elements at Risk]:[Elements at Risk]]=Final_VEValues[[#This Row],[Elements at Risk]:[Elements at Risk]])*(Exp_Combos[EP - Tropical Cyclone]=Final_VEValues[[#This Row],[EP - Tropical Cyclone]]),Exp_Combos[E2100 - Tropical Cyclone],"",0)</calculatedColumnFormula>
    </tableColumn>
    <tableColumn id="24" xr3:uid="{AC8D107D-1F06-478C-BC83-C9B1319AEECB}" name="E2100 - Drought">
      <calculatedColumnFormula array="1">_xlfn.XLOOKUP(1,(Exp_Combos[[Elements at Risk]:[Elements at Risk]]=Final_VEValues[[#This Row],[Elements at Risk]:[Elements at Risk]])*(Exp_Combos[EP - Drought]=Final_VEValues[[#This Row],[EP - Drought]]),Exp_Combos[E2100 - Drought],"",0)</calculatedColumnFormula>
    </tableColumn>
    <tableColumn id="25" xr3:uid="{2696FBD9-A0AD-4DE0-ABA4-4F13899A6062}" name="E2100 - Marine Heat Waves">
      <calculatedColumnFormula array="1">_xlfn.XLOOKUP(1,(Exp_Combos[[Elements at Risk]:[Elements at Risk]]=Final_VEValues[[#This Row],[Elements at Risk]:[Elements at Risk]])*(Exp_Combos[EP - Marine Heat Waves]=Final_VEValues[[#This Row],[EP - Marine Heat Waves]]),Exp_Combos[E2100 - Marine Heat Waves],"",0)</calculatedColumnFormula>
    </tableColumn>
    <tableColumn id="26" xr3:uid="{66939AA1-79A6-43A7-8D9F-F3B9AB86376B}" name="E2100 - Ocean Acidification">
      <calculatedColumnFormula array="1">_xlfn.XLOOKUP(1,(Exp_Combos[[Elements at Risk]:[Elements at Risk]]=Final_VEValues[[#This Row],[Elements at Risk]:[Elements at Risk]])*(Exp_Combos[EP - Ocean Acidification]=Final_VEValues[[#This Row],[EP - Ocean Acidification]]),Exp_Combos[E2100 - Ocean Acidification],"",0)</calculatedColumnFormula>
    </tableColumn>
    <tableColumn id="30" xr3:uid="{53C664CB-5C04-4531-97DE-42F04C90CD7D}" name="E2100 - Extreme Temperature" dataDxfId="360">
      <calculatedColumnFormula array="1">_xlfn.XLOOKUP(1,(Exp_Combos[[Elements at Risk]:[Elements at Risk]]=Final_VEValues[[#This Row],[Elements at Risk]:[Elements at Risk]])*(Exp_Combos[EP - Extreme Temperature]=Final_VEValues[[#This Row],[EP - Extreme Temperature]]),Exp_Combos[E2100 - Extreme Temperature],"",0)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CD810E7-E832-4583-9748-AF859C142BEF}" name="VEValuesFIXED" displayName="VEValuesFIXED" ref="A3:AD26" totalsRowShown="0" headerRowDxfId="359" tableBorderDxfId="358">
  <autoFilter ref="A3:AD26" xr:uid="{3CD810E7-E832-4583-9748-AF859C142BEF}"/>
  <tableColumns count="30">
    <tableColumn id="1" xr3:uid="{09BEFE26-FC63-4EEA-B2FA-D49927BE2050}" name="Features" dataDxfId="357"/>
    <tableColumn id="2" xr3:uid="{E1B3CE5B-03B0-4593-9691-4B9AA4741E50}" name="Elements at Risk" dataDxfId="356"/>
    <tableColumn id="3" xr3:uid="{47213D89-DFCD-4B82-BAD6-4BDC9DE4E6BA}" name="V - Coastal Inundation" dataDxfId="355"/>
    <tableColumn id="4" xr3:uid="{11070509-445B-453D-9C3A-D188D5875D4B}" name="V - Extreme Rainfall"/>
    <tableColumn id="5" xr3:uid="{925BCCBF-1CE9-4110-8CFF-7942CB5ECF08}" name="V - Tropical Cyclone"/>
    <tableColumn id="6" xr3:uid="{01FBA0AE-F02D-4C5A-9B79-67C05BEA5F77}" name="V - Drought"/>
    <tableColumn id="7" xr3:uid="{DEB60422-AFFD-4F6D-AFC6-40326CD5BDFE}" name="V - Marine Heat Waves"/>
    <tableColumn id="8" xr3:uid="{C4478780-F4DA-44C9-8888-1A4A78969A89}" name="V - Ocean Acidification" dataDxfId="354"/>
    <tableColumn id="27" xr3:uid="{89A7F4B5-E155-414B-A701-780419BFDC10}" name="V - Extreme Temperature"/>
    <tableColumn id="9" xr3:uid="{CA36CD32-215A-4732-906D-9C49D0346007}" name="EP - Coastal Inundation" dataDxfId="353"/>
    <tableColumn id="10" xr3:uid="{413C2834-202C-4BD0-90F9-2567691157E2}" name="EP - Extreme Rainfall"/>
    <tableColumn id="11" xr3:uid="{43F9A532-65BB-4040-BA6A-E01A563694A4}" name="EP - Tropical Cyclone"/>
    <tableColumn id="12" xr3:uid="{9ADA537C-760C-4625-AABC-F42C8C699E66}" name="EP - Drought"/>
    <tableColumn id="13" xr3:uid="{42BC48FB-630D-4A83-BCCB-4DBA8FBF3147}" name="EP - Marine Heat Waves"/>
    <tableColumn id="14" xr3:uid="{1728066C-E98F-410D-92E0-BD51CF4E5963}" name="EP - Ocean Acidification"/>
    <tableColumn id="28" xr3:uid="{11FA84A7-B5CA-4D85-8E1D-93E26E1A635E}" name="EP - Extreme Temperature" dataDxfId="352"/>
    <tableColumn id="15" xr3:uid="{272D80DC-6E40-4F31-A9BE-62094B186830}" name="E2050 - Coastal Inundation" dataDxfId="351"/>
    <tableColumn id="16" xr3:uid="{4B0A7DDD-4E99-43B0-97CE-02B30E67B7B4}" name="E2050 - Extreme Rainfall"/>
    <tableColumn id="17" xr3:uid="{3875FD0D-0951-4689-A18E-6E09843DCF95}" name="E2050 - Tropical Cyclone"/>
    <tableColumn id="18" xr3:uid="{1ECB5AEE-FEB3-4E8E-903E-34337A60A0E5}" name="E2050 - Drought"/>
    <tableColumn id="19" xr3:uid="{87F280CD-B44F-46FD-8F93-10FD528FFCF2}" name="E2050 - Marine Heat Waves"/>
    <tableColumn id="20" xr3:uid="{0C894826-0E86-4FC0-A5A4-D28C5438B089}" name="E2050 - Ocean Acidification"/>
    <tableColumn id="29" xr3:uid="{6E833DAA-57CA-482C-8DD2-984B709BC09E}" name="E2050 - Extreme Temperature" dataDxfId="350"/>
    <tableColumn id="21" xr3:uid="{D0539890-5F72-4D99-A641-2737032A4D1C}" name="E2100 - Coastal Inundation" dataDxfId="349"/>
    <tableColumn id="22" xr3:uid="{B7026BC8-ABFC-466D-8D07-0E5A9F3D01BA}" name="E2100 - Extreme Rainfall"/>
    <tableColumn id="23" xr3:uid="{A4B5BE08-787B-42BB-81DA-EE3A46D2A718}" name="E2100 - Tropical Cyclone"/>
    <tableColumn id="24" xr3:uid="{2C64BABA-B77D-481B-8CD6-D95B19F3A41B}" name="E2100 - Drought"/>
    <tableColumn id="25" xr3:uid="{D5C97127-8BFF-4C0F-B5F9-22B5202DBD26}" name="E2100 - Marine Heat Waves"/>
    <tableColumn id="26" xr3:uid="{4991E834-7DDF-40EC-8652-455AC151BF28}" name="E2100 - Ocean Acidification"/>
    <tableColumn id="30" xr3:uid="{E36BD489-CB40-4BC1-9A03-23F389F9EA3D}" name="E2100 - Extreme Temperature" dataDxfId="34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ECCEE6F-AAE3-47AB-9D87-29D09376F3B0}" name="VEValuesADJUSTED" displayName="VEValuesADJUSTED" ref="A30:AD53" totalsRowShown="0" headerRowDxfId="347" tableBorderDxfId="346">
  <autoFilter ref="A30:AD53" xr:uid="{3ECCEE6F-AAE3-47AB-9D87-29D09376F3B0}"/>
  <tableColumns count="30">
    <tableColumn id="1" xr3:uid="{68C1200F-8534-4B43-BB62-D8FB83361FC0}" name="Features" dataDxfId="345"/>
    <tableColumn id="2" xr3:uid="{7A1DC27E-14E2-489C-8F21-E1753EEC7412}" name="Elements at Risk" dataDxfId="344">
      <calculatedColumnFormula>B4</calculatedColumnFormula>
    </tableColumn>
    <tableColumn id="3" xr3:uid="{81F08AF8-69DE-4FE9-A76C-BDFA7F42E354}" name="V - Coastal Inundation" dataDxfId="343">
      <calculatedColumnFormula>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calculatedColumnFormula>
    </tableColumn>
    <tableColumn id="4" xr3:uid="{8726C73E-2171-4EDA-93B3-CB46B12C028E}" name="V - Extreme Rainfall">
      <calculatedColumnFormula array="1">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calculatedColumnFormula>
    </tableColumn>
    <tableColumn id="5" xr3:uid="{4C0057CE-3A49-4D82-A6B2-F13B69F8FAD3}" name="V - Tropical Cyclone">
      <calculatedColumnFormula array="1">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calculatedColumnFormula>
    </tableColumn>
    <tableColumn id="6" xr3:uid="{6DF86F0B-7B13-4EF4-B3B3-F4BF3D3E3D5F}" name="V - Drought">
      <calculatedColumnFormula array="1">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calculatedColumnFormula>
    </tableColumn>
    <tableColumn id="7" xr3:uid="{210B6957-1D10-408B-ADFA-8A67D39FB105}" name="V - Marine Heat Waves">
      <calculatedColumnFormula array="1">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calculatedColumnFormula>
    </tableColumn>
    <tableColumn id="8" xr3:uid="{B09D5164-20F9-456E-9E2E-04AA8654692F}" name="V - Ocean Acidification">
      <calculatedColumnFormula array="1">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calculatedColumnFormula>
    </tableColumn>
    <tableColumn id="28" xr3:uid="{4647A733-C668-417C-925A-4C0422E6B2FF}" name="V - Extreme Temperature" dataDxfId="342">
      <calculatedColumnFormula>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calculatedColumnFormula>
    </tableColumn>
    <tableColumn id="9" xr3:uid="{275E1FFB-EC59-4EDA-8502-C3D906702C42}" name="EP - Coastal Inundation" dataDxfId="341">
      <calculatedColumnFormula>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calculatedColumnFormula>
    </tableColumn>
    <tableColumn id="10" xr3:uid="{3980BE5B-9AAD-4CE3-9FF7-88D251F89412}" name="EP - Extreme Rainfall" dataDxfId="340">
      <calculatedColumnFormula>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calculatedColumnFormula>
    </tableColumn>
    <tableColumn id="11" xr3:uid="{B7B14081-50D6-4306-84E9-3FC9475C5AC9}" name="EP - Tropical Cyclone">
      <calculatedColumnFormula>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calculatedColumnFormula>
    </tableColumn>
    <tableColumn id="12" xr3:uid="{66FEBB95-A6F5-4CE1-8771-3CD777FD540F}" name="EP - Drought">
      <calculatedColumnFormula>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calculatedColumnFormula>
    </tableColumn>
    <tableColumn id="13" xr3:uid="{386DA9B8-1B18-4976-AA71-9B3A3C90FF75}" name="EP - Marine Heat Waves">
      <calculatedColumnFormula>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calculatedColumnFormula>
    </tableColumn>
    <tableColumn id="14" xr3:uid="{8609B721-646F-4EB4-9269-92EEAAADC291}" name="EP - Ocean Acidification">
      <calculatedColumnFormula>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calculatedColumnFormula>
    </tableColumn>
    <tableColumn id="29" xr3:uid="{E3047751-3E59-4559-9D77-F6D40057BE0F}" name="EP - Extreme Temperature" dataDxfId="339">
      <calculatedColumnFormula>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calculatedColumnFormula>
    </tableColumn>
    <tableColumn id="15" xr3:uid="{15F35239-12EF-4590-8169-C37B0DD12745}" name="E2050 - Coastal Inundation" dataDxfId="338">
      <calculatedColumnFormula array="1">_xlfn.SWITCH(Q89,4,"E",3,"H",2,"M",1,"L","N/A")</calculatedColumnFormula>
    </tableColumn>
    <tableColumn id="16" xr3:uid="{97AD64F3-CA71-4B9C-8C22-C2A176E5BB14}" name="E2050 - Extreme Rainfall">
      <calculatedColumnFormula array="1">_xlfn.SWITCH(R89,4,"E",3,"H",2,"M",1,"L","N/A")</calculatedColumnFormula>
    </tableColumn>
    <tableColumn id="17" xr3:uid="{5ABA019A-59BA-4066-8A5F-D1CE0C3229B5}" name="E2050 - Tropical Cyclone">
      <calculatedColumnFormula array="1">_xlfn.SWITCH(S89,4,"E",3,"H",2,"M",1,"L","N/A")</calculatedColumnFormula>
    </tableColumn>
    <tableColumn id="18" xr3:uid="{BAA77401-4485-4F16-8102-19614FA2DD32}" name="E2050 - Drought">
      <calculatedColumnFormula array="1">_xlfn.SWITCH(T89,4,"E",3,"H",2,"M",1,"L","N/A")</calculatedColumnFormula>
    </tableColumn>
    <tableColumn id="19" xr3:uid="{6EE9830E-E268-46A0-8236-C03F2BC79975}" name="E2050 - Marine Heat Waves">
      <calculatedColumnFormula array="1">_xlfn.SWITCH(U89,4,"E",3,"H",2,"M",1,"L","N/A")</calculatedColumnFormula>
    </tableColumn>
    <tableColumn id="20" xr3:uid="{B418C2F9-F143-4AB4-9272-940AF848CA48}" name="E2050 - Ocean Acidification">
      <calculatedColumnFormula array="1">_xlfn.SWITCH(V89,4,"E",3,"H",2,"M",1,"L","N/A")</calculatedColumnFormula>
    </tableColumn>
    <tableColumn id="30" xr3:uid="{85E9C054-0577-401E-A927-62AAF039E084}" name="E2050 - Extreme Temperature" dataDxfId="337">
      <calculatedColumnFormula array="1">_xlfn.SWITCH(W89,4,"E",3,"H",2,"M",1,"L","N/A")</calculatedColumnFormula>
    </tableColumn>
    <tableColumn id="21" xr3:uid="{89C65592-6CCF-4F81-8068-705A0CA0A0BD}" name="E2100 - Coastal Inundation" dataDxfId="336">
      <calculatedColumnFormula array="1">_xlfn.SWITCH(X89,4,"E",3,"H",2,"M",1,"L","N/A")</calculatedColumnFormula>
    </tableColumn>
    <tableColumn id="22" xr3:uid="{C6155261-29A8-4C03-8108-5CB09B4A86A8}" name="E2100 - Extreme Rainfall">
      <calculatedColumnFormula array="1">_xlfn.SWITCH(Y89,4,"E",3,"H",2,"M",1,"L","N/A")</calculatedColumnFormula>
    </tableColumn>
    <tableColumn id="23" xr3:uid="{716FFDB3-6BFF-4D05-ABDB-A82C7B584254}" name="E2100 - Tropical Cyclone">
      <calculatedColumnFormula array="1">_xlfn.SWITCH(Z89,4,"E",3,"H",2,"M",1,"L","N/A")</calculatedColumnFormula>
    </tableColumn>
    <tableColumn id="24" xr3:uid="{09A6102D-1574-4829-9E84-63CB1B19C85B}" name="E2100 - Drought">
      <calculatedColumnFormula array="1">_xlfn.SWITCH(AA89,4,"E",3,"H",2,"M",1,"L","N/A")</calculatedColumnFormula>
    </tableColumn>
    <tableColumn id="25" xr3:uid="{3AFC155C-3784-49E8-913F-3C5F98AA36F6}" name="E2100 - Marine Heat Waves">
      <calculatedColumnFormula array="1">_xlfn.SWITCH(AB89,4,"E",3,"H",2,"M",1,"L","N/A")</calculatedColumnFormula>
    </tableColumn>
    <tableColumn id="26" xr3:uid="{292E8684-9FB3-49EC-B17B-F69FBD51A431}" name="E2100 - Ocean Acidification">
      <calculatedColumnFormula array="1">_xlfn.SWITCH(AC89,4,"E",3,"H",2,"M",1,"L","N/A")</calculatedColumnFormula>
    </tableColumn>
    <tableColumn id="31" xr3:uid="{CAFFBD49-3952-49B8-91FC-8FC99CAD74C7}" name="E2100 - Extreme Temperature" dataDxfId="335">
      <calculatedColumnFormula array="1">_xlfn.SWITCH(AD89,4,"E",3,"H",2,"M",1,"L","N/A")</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9C0B340-7A69-4A80-9FA3-3A4FB4A7B2F3}" name="EaRSummary" displayName="EaRSummary" ref="A1:J24" totalsRowShown="0" headerRowDxfId="334" dataDxfId="333">
  <autoFilter ref="A1:J24" xr:uid="{09C0B340-7A69-4A80-9FA3-3A4FB4A7B2F3}"/>
  <tableColumns count="10">
    <tableColumn id="1" xr3:uid="{1E21F5FE-066B-4759-A057-211FF1CA2354}" name="Elements at Risk" dataDxfId="332"/>
    <tableColumn id="11" xr3:uid="{CBE47D8A-86C0-4C64-BD47-35ADA79FE0E4}" name="Risk Rating - Present" dataDxfId="331">
      <calculatedColumnFormula array="1">_xlfn.XLOOKUP(1,(RatingOrder[Present Threshold Lower]&lt;EaRSummary[[#This Row],[Average Risk Score - Present]])*(RatingOrder[Present Threshold Upper]&gt;=EaRSummary[[#This Row],[Average Risk Score - Present]]),RatingOrder[Rating Order],"",0)</calculatedColumnFormula>
    </tableColumn>
    <tableColumn id="15" xr3:uid="{E5D80A7A-4E7C-48A5-9220-0ED3DF4A3061}" name="Risk Rating - Future" dataDxfId="330">
      <calculatedColumnFormula array="1">_xlfn.XLOOKUP(1,(RatingOrder[Future Threshold Lower]&lt;EaRSummary[[#This Row],[Average Risk Score - Future]])*(RatingOrder[Future Threshold Upper]&gt;=EaRSummary[[#This Row],[Average Risk Score - Future]]),RatingOrder[Rating Order],"",0)</calculatedColumnFormula>
    </tableColumn>
    <tableColumn id="12" xr3:uid="{07FCB4A6-A31B-46A9-B961-B9A20D540A24}" name="Risk Rating - 2050" dataDxfId="329">
      <calculatedColumnFormula array="1">_xlfn.XLOOKUP(1,(RatingOrder[2050 Threshold Lower]&lt;EaRSummary[[#This Row],[Average Risk Score - 2050]])*(RatingOrder[2050 Threshold Upper]&gt;=EaRSummary[[#This Row],[Average Risk Score - 2050]]),RatingOrder[Rating Order],"",0)</calculatedColumnFormula>
    </tableColumn>
    <tableColumn id="13" xr3:uid="{A5339839-285F-4328-A6F4-78E1090F88B4}" name="Risk Rating - 2100" dataDxfId="328">
      <calculatedColumnFormula array="1">_xlfn.XLOOKUP(1,(RatingOrder[2100 Threshold Lower]&lt;EaRSummary[[#This Row],[Average Risk Score - 2100]])*(RatingOrder[2100 Threshold Upper]&gt;=EaRSummary[[#This Row],[Average Risk Score - 2100]]),RatingOrder[Rating Order],"",0)</calculatedColumnFormula>
    </tableColumn>
    <tableColumn id="2" xr3:uid="{E5E9BE52-F345-4798-9513-D10B4B95EA40}" name="Average Risk Score - Present" dataDxfId="327">
      <calculatedColumnFormula>AVERAGEIFS(RiskStatements[Risk Score - Present],RiskStatements[Elements at Risk],EaRSummary[[#This Row],[Elements at Risk]],RiskStatements[Include],1)</calculatedColumnFormula>
    </tableColumn>
    <tableColumn id="16" xr3:uid="{4CD0A14C-A130-43DB-88CF-C4372F704D34}" name="Average Risk Score - Future" dataDxfId="326">
      <calculatedColumnFormula>(SUMIFS(RiskStatements[Risk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calculatedColumnFormula>
    </tableColumn>
    <tableColumn id="3" xr3:uid="{87033982-9016-4755-AD9B-70078731A2DC}" name="Average Risk Score - 2050" dataDxfId="325">
      <calculatedColumnFormula>AVERAGEIFS(RiskStatements[Risk Score - 2050],RiskStatements[Elements at Risk],EaRSummary[[#This Row],[Elements at Risk]],RiskStatements[Include],1)</calculatedColumnFormula>
    </tableColumn>
    <tableColumn id="4" xr3:uid="{5D2CB1C5-A3C2-4870-9A0D-1EE8064BBFD5}" name="Average Risk Score - 2100" dataDxfId="324">
      <calculatedColumnFormula>AVERAGEIFS(RiskStatements[Risk Score - 2100],RiskStatements[Elements at Risk],EaRSummary[[#This Row],[Elements at Risk]],RiskStatements[Include],1)</calculatedColumnFormula>
    </tableColumn>
    <tableColumn id="9" xr3:uid="{EF136260-BD96-4090-8AC6-6A463C3C37D6}" name="Include" dataDxfId="323">
      <calculatedColumnFormula>IF(COUNTIFS(RiskStatements[Elements at Risk],EaRSummary[[#This Row],[Elements at Risk]],RiskStatements[Include],1)&gt;0,1,0)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01A8377-8CDE-43C7-AEB1-77346AF9ACD0}" name="CVSummary" displayName="CVSummary" ref="A27:J34" totalsRowShown="0" headerRowDxfId="322" dataDxfId="321">
  <autoFilter ref="A27:J34" xr:uid="{301A8377-8CDE-43C7-AEB1-77346AF9ACD0}"/>
  <tableColumns count="10">
    <tableColumn id="1" xr3:uid="{78C32296-621B-4BC4-8423-040F75423BAC}" name="Climate Variables/Explainers" dataDxfId="320"/>
    <tableColumn id="11" xr3:uid="{FE4EC7A3-59E0-47D6-A036-055403332648}" name="Risk Rating - Present" dataDxfId="319">
      <calculatedColumnFormula array="1">_xlfn.XLOOKUP(1,(RatingOrder[Present Threshold Lower]&lt;CVSummary[[#This Row],[Average Risk Score - Present]])*(RatingOrder[Present Threshold Upper]&gt;=CVSummary[[#This Row],[Average Risk Score - Present]]),RatingOrder[Rating Order],"",0)</calculatedColumnFormula>
    </tableColumn>
    <tableColumn id="15" xr3:uid="{1AF04ED3-B5FB-47C1-8826-2EE84B73AE7C}" name="Risk Rating - Future" dataDxfId="318">
      <calculatedColumnFormula array="1">_xlfn.XLOOKUP(1,(RatingOrder[Future Threshold Lower]&lt;CVSummary[[#This Row],[Average Risk Score - Future]])*(RatingOrder[Future Threshold Upper]&gt;=CVSummary[[#This Row],[Average Risk Score - Future]]),RatingOrder[Rating Order],"",0)</calculatedColumnFormula>
    </tableColumn>
    <tableColumn id="12" xr3:uid="{6A8E06A6-4825-410E-9AB3-55CE0A58368C}" name="Risk Rating - 2050" dataDxfId="317">
      <calculatedColumnFormula array="1">_xlfn.XLOOKUP(1,(RatingOrder[2050 Threshold Lower]&lt;CVSummary[[#This Row],[Average Risk Score - 2050]])*(RatingOrder[2050 Threshold Upper]&gt;=CVSummary[[#This Row],[Average Risk Score - 2050]]),RatingOrder[Rating Order],"",0)</calculatedColumnFormula>
    </tableColumn>
    <tableColumn id="13" xr3:uid="{FA682869-DC17-4DE9-AF5D-8EF740DB366E}" name="Risk Rating - 2100" dataDxfId="316">
      <calculatedColumnFormula array="1">_xlfn.XLOOKUP(1,(RatingOrder[2100 Threshold Lower]&lt;CVSummary[[#This Row],[Average Risk Score - 2100]])*(RatingOrder[2100 Threshold Upper]&gt;=CVSummary[[#This Row],[Average Risk Score - 2100]]),RatingOrder[Rating Order],"",0)</calculatedColumnFormula>
    </tableColumn>
    <tableColumn id="2" xr3:uid="{7BAA2206-DE77-4975-A905-F92615058B48}" name="Average Risk Score - Present" dataDxfId="315">
      <calculatedColumnFormula>AVERAGEIFS(RiskStatements[Risk Score - Present],RiskStatements[Climate Variables/Explainers],CVSummary[[#This Row],[Climate Variables/Explainers]],RiskStatements[Include],1)</calculatedColumnFormula>
    </tableColumn>
    <tableColumn id="16" xr3:uid="{74D2C9F6-31C3-418E-B1DB-BF5DF90A8D20}" name="Average Risk Score - Future" dataDxfId="314">
      <calculatedColumnFormula>(SUMIFS(RiskStatements[Risk Score - 2050],RiskStatements[Climate Variables/Explainers],CVSummary[[#This Row],[Climate Variables/Explainers]],RiskStatements[Include],1)+SUMIFS(RiskStatements[Risk Score - 2100],RiskStatements[Climate Variables/Explainers],CVSummary[[#This Row],[Climate Variables/Explainers]],RiskStatements[Include],1))/(COUNTIFS(RiskStatements[Climate Variables/Explainers],CVSummary[[#This Row],[Climate Variables/Explainers]],RiskStatements[Include],1)*2)</calculatedColumnFormula>
    </tableColumn>
    <tableColumn id="3" xr3:uid="{F9B37FFD-6B14-4375-BF00-278A6875C791}" name="Average Risk Score - 2050" dataDxfId="313">
      <calculatedColumnFormula>AVERAGEIFS(RiskStatements[Risk Score - 2050],RiskStatements[Climate Variables/Explainers],CVSummary[[#This Row],[Climate Variables/Explainers]],RiskStatements[Include],1)</calculatedColumnFormula>
    </tableColumn>
    <tableColumn id="4" xr3:uid="{953E249A-43E3-4F15-B575-D0871051D9AD}" name="Average Risk Score - 2100" dataDxfId="312">
      <calculatedColumnFormula>AVERAGEIFS(RiskStatements[Risk Score - 2100],RiskStatements[Climate Variables/Explainers],CVSummary[[#This Row],[Climate Variables/Explainers]],RiskStatements[Include],1)</calculatedColumnFormula>
    </tableColumn>
    <tableColumn id="9" xr3:uid="{FB0C2006-1C1D-4620-A70F-66D41057FCE8}" name="Include" dataDxfId="311">
      <calculatedColumnFormula>IF(COUNTIFS(RiskStatements[Climate Variables/Explainers],CVSummary[[#This Row],[Climate Variables/Explainers]],RiskStatements[Include],1)&gt;0,1,0)</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5B3D9DC-E3D5-4FC8-8F41-83DF4BB23901}" name="RiskStatements" displayName="RiskStatements" ref="A1:S162" totalsRowShown="0" headerRowDxfId="310" dataDxfId="309">
  <autoFilter ref="A1:S162" xr:uid="{D5B3D9DC-E3D5-4FC8-8F41-83DF4BB23901}">
    <filterColumn colId="1">
      <filters>
        <filter val="Coastal / Marine Ecosystems"/>
      </filters>
    </filterColumn>
  </autoFilter>
  <tableColumns count="19">
    <tableColumn id="10" xr3:uid="{0A012532-EC23-455E-AF50-2655B1C1C273}" name="Features" dataDxfId="308"/>
    <tableColumn id="7" xr3:uid="{C3501897-F68C-4DA0-8D19-8C815D74F7C1}" name="Elements at Risk" dataDxfId="307"/>
    <tableColumn id="8" xr3:uid="{7D5B75C5-E9ED-4ECE-851B-BADF36904219}" name="Climate Variables/Explainers" dataDxfId="306"/>
    <tableColumn id="1" xr3:uid="{7E4B538A-6453-46D4-9B88-4036C207EE10}" name="Vulnerability Header" dataDxfId="305">
      <calculatedColumnFormula>"V - " &amp;RiskStatements[[#This Row],[Climate Variables/Explainers]]</calculatedColumnFormula>
    </tableColumn>
    <tableColumn id="2" xr3:uid="{9AE78D26-07CE-466C-BD67-68C05B266572}" name="Exposure Present Header" dataDxfId="304">
      <calculatedColumnFormula>"EP - " &amp;RiskStatements[[#This Row],[Climate Variables/Explainers]]</calculatedColumnFormula>
    </tableColumn>
    <tableColumn id="6" xr3:uid="{F1558997-A6FA-4C16-A6B4-96331FE27095}" name="Exposure 2050 Header" dataDxfId="303">
      <calculatedColumnFormula>"E2050 - " &amp;RiskStatements[[#This Row],[Climate Variables/Explainers]]</calculatedColumnFormula>
    </tableColumn>
    <tableColumn id="12" xr3:uid="{A296233D-0A0B-4B66-AB34-6A75BCBE4A65}" name="Exposure 2100 Header" dataDxfId="302">
      <calculatedColumnFormula>"E2100 - " &amp;RiskStatements[[#This Row],[Climate Variables/Explainers]]</calculatedColumnFormula>
    </tableColumn>
    <tableColumn id="13" xr3:uid="{1E138EED-2CF3-4E30-B966-F3192388DBAC}" name="Vulnerability Rating" dataDxfId="301">
      <calculatedColumnFormula array="1">_xlfn.XLOOKUP(RiskStatements[[#This Row],[Elements at Risk]],Final_VEValues[Elements at Risk],_xlfn.XLOOKUP(RiskStatements[[#This Row],[Vulnerability Header]],Final_VEValues[#Headers],Final_VEValues[]))</calculatedColumnFormula>
    </tableColumn>
    <tableColumn id="14" xr3:uid="{5AF2F2C0-6FB9-497D-BEF6-66897EE97F4B}" name="Exposure Rating - Present" dataDxfId="300">
      <calculatedColumnFormula array="1">_xlfn.XLOOKUP(RiskStatements[[#This Row],[Elements at Risk]],Final_VEValues[Elements at Risk],_xlfn.XLOOKUP(RiskStatements[[#This Row],[Exposure Present Header]],Final_VEValues[#Headers],Final_VEValues[]))</calculatedColumnFormula>
    </tableColumn>
    <tableColumn id="15" xr3:uid="{331CC610-53A5-4D53-A94D-628EA3EB072F}" name="Exposure Rating - 2050" dataDxfId="299">
      <calculatedColumnFormula array="1">_xlfn.XLOOKUP(RiskStatements[[#This Row],[Elements at Risk]],Final_VEValues[Elements at Risk],_xlfn.XLOOKUP(RiskStatements[[#This Row],[Exposure 2050 Header]],Final_VEValues[#Headers],Final_VEValues[]))</calculatedColumnFormula>
    </tableColumn>
    <tableColumn id="16" xr3:uid="{BD6486E8-5639-4868-AD22-80A6907F982D}" name="Exposure Rating - 2100" dataDxfId="298">
      <calculatedColumnFormula array="1">_xlfn.XLOOKUP(RiskStatements[[#This Row],[Elements at Risk]],Final_VEValues[Elements at Risk],_xlfn.XLOOKUP(RiskStatements[[#This Row],[Exposure 2100 Header]],Final_VEValues[#Headers],Final_VEValues[]))</calculatedColumnFormula>
    </tableColumn>
    <tableColumn id="9" xr3:uid="{F975F221-B7D6-46F8-B730-43BB954FDD50}" name="Risk Statement" dataDxfId="297">
      <calculatedColumnFormula>_xlfn.CONCAT(RiskStatements[[#This Row],[Climate Variables/Explainers]]," risk to ",RiskStatements[[#This Row],[Elements at Risk]])</calculatedColumnFormula>
    </tableColumn>
    <tableColumn id="3" xr3:uid="{15B6999C-DB2C-4AA9-9BC2-4901262797C9}" name="Risk Rating - Present" dataDxfId="296">
      <calculatedColumnFormula array="1">_xlfn.XLOOKUP(RiskStatements[[#This Row],[Vulnerability Rating]],VEMatrix[Vulnerability],_xlfn.XLOOKUP(RiskStatements[[#This Row],[Exposure Rating - Present]],VEMatrix[#Headers],VEMatrix[]))</calculatedColumnFormula>
    </tableColumn>
    <tableColumn id="4" xr3:uid="{89C26D0A-BB3C-419D-9631-E5C9766E80C0}" name="Risk Rating - 2050" dataDxfId="295">
      <calculatedColumnFormula array="1">_xlfn.XLOOKUP(RiskStatements[[#This Row],[Vulnerability Rating]],VEMatrix[Vulnerability],_xlfn.XLOOKUP(RiskStatements[[#This Row],[Exposure Rating - 2050]],VEMatrix[#Headers],VEMatrix[]))</calculatedColumnFormula>
    </tableColumn>
    <tableColumn id="5" xr3:uid="{8DE25BEB-3F6D-43ED-A17F-3A04AB126AFD}" name="Risk Rating - 2100" dataDxfId="294">
      <calculatedColumnFormula array="1">_xlfn.XLOOKUP(RiskStatements[[#This Row],[Vulnerability Rating]],VEMatrix[Vulnerability],_xlfn.XLOOKUP(RiskStatements[[#This Row],[Exposure Rating - 2100]],VEMatrix[#Headers],VEMatrix[]))</calculatedColumnFormula>
    </tableColumn>
    <tableColumn id="17" xr3:uid="{1545C768-AAF6-4719-87D2-94A636E5B39C}" name="Risk Score - Present" dataDxfId="293">
      <calculatedColumnFormula>_xlfn.XLOOKUP(RiskStatements[[#This Row],[Risk Rating - Present]],RatingOrder[Rating Order],RatingOrder[Rating Score],0,0)</calculatedColumnFormula>
    </tableColumn>
    <tableColumn id="18" xr3:uid="{91EE4E61-B811-43F0-8269-065CDD6F6371}" name="Risk Score - 2050" dataDxfId="292">
      <calculatedColumnFormula>_xlfn.XLOOKUP(RiskStatements[[#This Row],[Risk Rating - 2050]],RatingOrder[Rating Order],RatingOrder[Rating Score],0,0)</calculatedColumnFormula>
    </tableColumn>
    <tableColumn id="19" xr3:uid="{0580583F-07CD-49DD-93BE-5A14FF64AC7A}" name="Risk Score - 2100" dataDxfId="291">
      <calculatedColumnFormula>_xlfn.XLOOKUP(RiskStatements[[#This Row],[Risk Rating - 2100]],RatingOrder[Rating Order],RatingOrder[Rating Score],0,0)</calculatedColumnFormula>
    </tableColumn>
    <tableColumn id="20" xr3:uid="{03A8A73F-6560-4DF6-AB2C-E7FAEACF6262}" name="Include" dataDxfId="290">
      <calculatedColumnFormula>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b.vu/" TargetMode="External"/><Relationship Id="rId2" Type="http://schemas.openxmlformats.org/officeDocument/2006/relationships/hyperlink" Target="https://www.vmgd.gov.vu/vmgd/index.php" TargetMode="External"/><Relationship Id="rId1" Type="http://schemas.openxmlformats.org/officeDocument/2006/relationships/hyperlink" Target="https://www.vanclimatefutures.gov.vu/dashboard/home"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4.bin"/><Relationship Id="rId4"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vanclimatefutures.gov.vu/assets/docs/Extreme%20Rainfall%20Explainer.pdf" TargetMode="External"/><Relationship Id="rId7" Type="http://schemas.openxmlformats.org/officeDocument/2006/relationships/hyperlink" Target="https://vanclimatefutures.gov.vu/assets/docs/National%20&amp;%20Sub-national%20Projections%20Technical%20Report.pdf" TargetMode="External"/><Relationship Id="rId2" Type="http://schemas.openxmlformats.org/officeDocument/2006/relationships/hyperlink" Target="https://vanclimatefutures.gov.vu/assets/docs/Drought.pdf" TargetMode="External"/><Relationship Id="rId1" Type="http://schemas.openxmlformats.org/officeDocument/2006/relationships/hyperlink" Target="https://vanclimatefutures.gov.vu/assets/docs/Coastal%20Inundation.pdf" TargetMode="External"/><Relationship Id="rId6" Type="http://schemas.openxmlformats.org/officeDocument/2006/relationships/hyperlink" Target="https://vanclimatefutures.gov.vu/assets/docs/Marine%20Heat%20Waves.pdf" TargetMode="External"/><Relationship Id="rId5" Type="http://schemas.openxmlformats.org/officeDocument/2006/relationships/hyperlink" Target="https://vanclimatefutures.gov.vu/assets/docs/Ocean%20Acidification.pdf" TargetMode="External"/><Relationship Id="rId4" Type="http://schemas.openxmlformats.org/officeDocument/2006/relationships/hyperlink" Target="https://vanclimatefutures.gov.vu/assets/docs/Tropical%20Cyclone.pdf" TargetMode="External"/><Relationship Id="rId9"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vanclimatefutures.gov.vu/dashboard/home" TargetMode="External"/><Relationship Id="rId7" Type="http://schemas.openxmlformats.org/officeDocument/2006/relationships/drawing" Target="../drawings/drawing3.xml"/><Relationship Id="rId2" Type="http://schemas.openxmlformats.org/officeDocument/2006/relationships/hyperlink" Target="https://www.nab.vu/" TargetMode="External"/><Relationship Id="rId1" Type="http://schemas.openxmlformats.org/officeDocument/2006/relationships/hyperlink" Target="https://www.vmgd.gov.vu/vmgd/index.php" TargetMode="External"/><Relationship Id="rId6" Type="http://schemas.openxmlformats.org/officeDocument/2006/relationships/printerSettings" Target="../printerSettings/printerSettings4.bin"/><Relationship Id="rId5" Type="http://schemas.openxmlformats.org/officeDocument/2006/relationships/hyperlink" Target="https://www.vanclimatefutures.gov.vu/dashboard/home" TargetMode="External"/><Relationship Id="rId4" Type="http://schemas.openxmlformats.org/officeDocument/2006/relationships/hyperlink" Target="https://www.vanclimatefutures.gov.vu/dashboard/home"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vanclimatefutures.gov.vu/dashboard/home" TargetMode="External"/><Relationship Id="rId2" Type="http://schemas.openxmlformats.org/officeDocument/2006/relationships/hyperlink" Target="https://www.nab.vu/" TargetMode="External"/><Relationship Id="rId1" Type="http://schemas.openxmlformats.org/officeDocument/2006/relationships/hyperlink" Target="https://www.vmgd.gov.vu/vmgd/index.php"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28A11-9A2F-46BF-BD2D-1081A7C411AB}">
  <sheetPr codeName="Sheet1">
    <tabColor rgb="FF00B0F0"/>
  </sheetPr>
  <dimension ref="A1:Q61"/>
  <sheetViews>
    <sheetView workbookViewId="0"/>
  </sheetViews>
  <sheetFormatPr defaultColWidth="9" defaultRowHeight="17.5" x14ac:dyDescent="0.35"/>
  <sheetData>
    <row r="1" spans="1:17" s="3" customFormat="1" ht="15.5" x14ac:dyDescent="0.35">
      <c r="A1" s="1"/>
      <c r="B1" s="2"/>
      <c r="C1" s="369" t="s">
        <v>0</v>
      </c>
      <c r="D1" s="369"/>
      <c r="E1" s="369"/>
      <c r="F1" s="369"/>
      <c r="G1" s="369"/>
      <c r="H1" s="369"/>
      <c r="I1" s="369"/>
      <c r="J1" s="369"/>
      <c r="K1" s="369"/>
      <c r="L1" s="369"/>
      <c r="M1" s="369"/>
      <c r="N1" s="369"/>
      <c r="O1" s="369"/>
      <c r="P1" s="369"/>
      <c r="Q1" s="370"/>
    </row>
    <row r="2" spans="1:17" s="3" customFormat="1" ht="13" x14ac:dyDescent="0.35">
      <c r="A2" s="4"/>
      <c r="E2" s="8" t="s">
        <v>1</v>
      </c>
      <c r="F2" s="32" t="s">
        <v>2</v>
      </c>
      <c r="G2" s="32"/>
      <c r="H2" s="32"/>
      <c r="I2" s="32"/>
      <c r="J2" s="32"/>
      <c r="K2" s="8" t="s">
        <v>3</v>
      </c>
      <c r="L2" s="33">
        <v>4219937</v>
      </c>
      <c r="Q2" s="5"/>
    </row>
    <row r="3" spans="1:17" s="3" customFormat="1" ht="13" x14ac:dyDescent="0.35">
      <c r="A3" s="4"/>
      <c r="E3" s="8" t="s">
        <v>0</v>
      </c>
      <c r="F3" s="32" t="s">
        <v>4</v>
      </c>
      <c r="G3" s="32"/>
      <c r="H3" s="32"/>
      <c r="I3" s="32"/>
      <c r="J3" s="32"/>
      <c r="K3" s="34"/>
      <c r="L3" s="34"/>
      <c r="O3" s="8"/>
      <c r="Q3" s="5"/>
    </row>
    <row r="4" spans="1:17" s="3" customFormat="1" ht="13" x14ac:dyDescent="0.35">
      <c r="A4" s="4"/>
      <c r="E4" s="8" t="s">
        <v>5</v>
      </c>
      <c r="F4" s="32" t="s">
        <v>6</v>
      </c>
      <c r="G4" s="32"/>
      <c r="H4" s="32"/>
      <c r="I4" s="32"/>
      <c r="J4" s="32"/>
      <c r="K4" s="34"/>
      <c r="L4" s="34"/>
      <c r="O4" s="8"/>
      <c r="Q4" s="5"/>
    </row>
    <row r="5" spans="1:17" s="3" customFormat="1" ht="13" x14ac:dyDescent="0.35">
      <c r="A5" s="4"/>
      <c r="O5" s="8"/>
      <c r="Q5" s="5"/>
    </row>
    <row r="6" spans="1:17" s="3" customFormat="1" ht="14.5" x14ac:dyDescent="0.35">
      <c r="A6" s="4"/>
      <c r="E6" s="8" t="s">
        <v>7</v>
      </c>
      <c r="F6" s="32" t="s">
        <v>8</v>
      </c>
      <c r="G6" s="32"/>
      <c r="H6" s="32"/>
      <c r="I6" s="32"/>
      <c r="J6" s="32"/>
      <c r="K6" s="8" t="s">
        <v>9</v>
      </c>
      <c r="L6" s="59">
        <v>44764</v>
      </c>
      <c r="Q6" s="5"/>
    </row>
    <row r="7" spans="1:17" s="3" customFormat="1" ht="12.5" x14ac:dyDescent="0.35">
      <c r="A7" s="4"/>
      <c r="Q7" s="5"/>
    </row>
    <row r="8" spans="1:17" s="3" customFormat="1" ht="12.5" x14ac:dyDescent="0.35">
      <c r="A8" s="4"/>
      <c r="Q8" s="6"/>
    </row>
    <row r="9" spans="1:17" s="3" customFormat="1" ht="12.5" x14ac:dyDescent="0.35">
      <c r="A9" s="7"/>
      <c r="Q9" s="5"/>
    </row>
    <row r="10" spans="1:17" ht="18" thickBot="1" x14ac:dyDescent="0.4">
      <c r="A10" s="9"/>
      <c r="B10" s="10"/>
      <c r="C10" s="10"/>
      <c r="D10" s="11"/>
      <c r="E10" s="10"/>
      <c r="F10" s="10"/>
      <c r="G10" s="11"/>
      <c r="H10" s="10"/>
      <c r="I10" s="10"/>
      <c r="J10" s="11"/>
      <c r="K10" s="10"/>
      <c r="L10" s="10"/>
      <c r="M10" s="10"/>
      <c r="N10" s="10"/>
      <c r="O10" s="10"/>
      <c r="P10" s="10"/>
      <c r="Q10" s="12"/>
    </row>
    <row r="12" spans="1:17" x14ac:dyDescent="0.35">
      <c r="C12" t="s">
        <v>10</v>
      </c>
      <c r="M12" t="s">
        <v>11</v>
      </c>
    </row>
    <row r="13" spans="1:17" ht="18" thickBot="1" x14ac:dyDescent="0.4"/>
    <row r="14" spans="1:17" x14ac:dyDescent="0.35">
      <c r="C14" s="35" t="s">
        <v>12</v>
      </c>
      <c r="D14" s="368" t="s">
        <v>13</v>
      </c>
      <c r="E14" s="368"/>
      <c r="F14" s="368"/>
      <c r="G14" s="36"/>
      <c r="H14" s="36"/>
      <c r="I14" s="36"/>
      <c r="J14" s="36"/>
      <c r="K14" s="37"/>
    </row>
    <row r="15" spans="1:17" x14ac:dyDescent="0.35">
      <c r="C15" s="26"/>
      <c r="D15" s="8" t="s">
        <v>14</v>
      </c>
      <c r="E15" s="32" t="s">
        <v>15</v>
      </c>
      <c r="F15" s="32"/>
      <c r="G15" s="32"/>
      <c r="H15" s="32"/>
      <c r="I15" s="32"/>
      <c r="J15" s="8" t="s">
        <v>9</v>
      </c>
      <c r="K15" s="38">
        <v>44690</v>
      </c>
    </row>
    <row r="16" spans="1:17" x14ac:dyDescent="0.35">
      <c r="C16" s="26"/>
      <c r="D16" s="8" t="s">
        <v>16</v>
      </c>
      <c r="E16" s="32" t="s">
        <v>8</v>
      </c>
      <c r="F16" s="32"/>
      <c r="G16" s="32"/>
      <c r="H16" s="32"/>
      <c r="I16" s="32"/>
      <c r="J16" s="8" t="s">
        <v>9</v>
      </c>
      <c r="K16" s="39">
        <v>44764</v>
      </c>
    </row>
    <row r="17" spans="3:11" x14ac:dyDescent="0.35">
      <c r="C17" s="26"/>
      <c r="D17" s="8"/>
      <c r="E17" s="32"/>
      <c r="F17" s="32"/>
      <c r="G17" s="32"/>
      <c r="H17" s="32"/>
      <c r="I17" s="32"/>
      <c r="J17" s="3"/>
      <c r="K17" s="5"/>
    </row>
    <row r="18" spans="3:11" x14ac:dyDescent="0.35">
      <c r="C18" s="26"/>
      <c r="D18" s="8" t="s">
        <v>17</v>
      </c>
      <c r="E18" s="32"/>
      <c r="F18" s="32"/>
      <c r="G18" s="32"/>
      <c r="H18" s="32"/>
      <c r="I18" s="32"/>
      <c r="J18" s="8" t="s">
        <v>9</v>
      </c>
      <c r="K18" s="40"/>
    </row>
    <row r="19" spans="3:11" ht="18" thickBot="1" x14ac:dyDescent="0.4">
      <c r="C19" s="28"/>
      <c r="D19" s="41" t="s">
        <v>17</v>
      </c>
      <c r="E19" s="42"/>
      <c r="F19" s="42"/>
      <c r="G19" s="42"/>
      <c r="H19" s="42"/>
      <c r="I19" s="42"/>
      <c r="J19" s="41" t="s">
        <v>9</v>
      </c>
      <c r="K19" s="43"/>
    </row>
    <row r="20" spans="3:11" ht="18" thickBot="1" x14ac:dyDescent="0.4"/>
    <row r="21" spans="3:11" x14ac:dyDescent="0.35">
      <c r="C21" s="44" t="s">
        <v>12</v>
      </c>
      <c r="D21" s="368" t="s">
        <v>18</v>
      </c>
      <c r="E21" s="368"/>
      <c r="F21" s="368"/>
      <c r="G21" s="45"/>
      <c r="H21" s="45"/>
      <c r="I21" s="45"/>
      <c r="J21" s="45"/>
      <c r="K21" s="46"/>
    </row>
    <row r="22" spans="3:11" x14ac:dyDescent="0.35">
      <c r="C22" s="26"/>
      <c r="D22" s="8" t="s">
        <v>14</v>
      </c>
      <c r="E22" s="32" t="s">
        <v>15</v>
      </c>
      <c r="F22" s="32"/>
      <c r="G22" s="32"/>
      <c r="H22" s="32"/>
      <c r="I22" s="32"/>
      <c r="J22" s="8" t="s">
        <v>9</v>
      </c>
      <c r="K22" s="38">
        <v>44690</v>
      </c>
    </row>
    <row r="23" spans="3:11" x14ac:dyDescent="0.35">
      <c r="C23" s="26"/>
      <c r="D23" s="8" t="s">
        <v>16</v>
      </c>
      <c r="E23" s="32" t="s">
        <v>8</v>
      </c>
      <c r="F23" s="32"/>
      <c r="G23" s="32"/>
      <c r="H23" s="32"/>
      <c r="I23" s="32"/>
      <c r="J23" s="8" t="s">
        <v>9</v>
      </c>
      <c r="K23" s="39">
        <v>44764</v>
      </c>
    </row>
    <row r="24" spans="3:11" x14ac:dyDescent="0.35">
      <c r="C24" s="26"/>
      <c r="D24" s="8"/>
      <c r="E24" s="32"/>
      <c r="F24" s="32"/>
      <c r="G24" s="32"/>
      <c r="H24" s="32"/>
      <c r="I24" s="32"/>
      <c r="J24" s="3"/>
      <c r="K24" s="5"/>
    </row>
    <row r="25" spans="3:11" x14ac:dyDescent="0.35">
      <c r="C25" s="26"/>
      <c r="D25" s="8" t="s">
        <v>17</v>
      </c>
      <c r="E25" s="32"/>
      <c r="F25" s="32"/>
      <c r="G25" s="32"/>
      <c r="H25" s="32"/>
      <c r="I25" s="32"/>
      <c r="J25" s="8" t="s">
        <v>9</v>
      </c>
      <c r="K25" s="40"/>
    </row>
    <row r="26" spans="3:11" ht="18" thickBot="1" x14ac:dyDescent="0.4">
      <c r="C26" s="28"/>
      <c r="D26" s="41" t="s">
        <v>17</v>
      </c>
      <c r="E26" s="42"/>
      <c r="F26" s="42"/>
      <c r="G26" s="42"/>
      <c r="H26" s="42"/>
      <c r="I26" s="42"/>
      <c r="J26" s="41" t="s">
        <v>9</v>
      </c>
      <c r="K26" s="43"/>
    </row>
    <row r="27" spans="3:11" ht="18" thickBot="1" x14ac:dyDescent="0.4"/>
    <row r="28" spans="3:11" x14ac:dyDescent="0.35">
      <c r="C28" s="44" t="s">
        <v>12</v>
      </c>
      <c r="D28" s="368" t="s">
        <v>19</v>
      </c>
      <c r="E28" s="368"/>
      <c r="F28" s="368"/>
      <c r="G28" s="45"/>
      <c r="H28" s="45"/>
      <c r="I28" s="45"/>
      <c r="J28" s="45"/>
      <c r="K28" s="46"/>
    </row>
    <row r="29" spans="3:11" x14ac:dyDescent="0.35">
      <c r="C29" s="26"/>
      <c r="D29" s="8" t="s">
        <v>14</v>
      </c>
      <c r="E29" s="32" t="s">
        <v>15</v>
      </c>
      <c r="F29" s="32"/>
      <c r="G29" s="32"/>
      <c r="H29" s="32"/>
      <c r="I29" s="32"/>
      <c r="J29" s="8" t="s">
        <v>9</v>
      </c>
      <c r="K29" s="38">
        <v>44690</v>
      </c>
    </row>
    <row r="30" spans="3:11" x14ac:dyDescent="0.35">
      <c r="C30" s="26"/>
      <c r="D30" s="8" t="s">
        <v>16</v>
      </c>
      <c r="E30" s="32" t="s">
        <v>8</v>
      </c>
      <c r="F30" s="32"/>
      <c r="G30" s="32"/>
      <c r="H30" s="32"/>
      <c r="I30" s="32"/>
      <c r="J30" s="8" t="s">
        <v>9</v>
      </c>
      <c r="K30" s="39">
        <v>44764</v>
      </c>
    </row>
    <row r="31" spans="3:11" x14ac:dyDescent="0.35">
      <c r="C31" s="26"/>
      <c r="D31" s="8"/>
      <c r="E31" s="32"/>
      <c r="F31" s="32"/>
      <c r="G31" s="32"/>
      <c r="H31" s="32"/>
      <c r="I31" s="32"/>
      <c r="J31" s="3"/>
      <c r="K31" s="5"/>
    </row>
    <row r="32" spans="3:11" x14ac:dyDescent="0.35">
      <c r="C32" s="26"/>
      <c r="D32" s="8" t="s">
        <v>17</v>
      </c>
      <c r="E32" s="32"/>
      <c r="F32" s="32"/>
      <c r="G32" s="32"/>
      <c r="H32" s="32"/>
      <c r="I32" s="32"/>
      <c r="J32" s="8" t="s">
        <v>9</v>
      </c>
      <c r="K32" s="40"/>
    </row>
    <row r="33" spans="3:11" ht="18" thickBot="1" x14ac:dyDescent="0.4">
      <c r="C33" s="28"/>
      <c r="D33" s="41" t="s">
        <v>17</v>
      </c>
      <c r="E33" s="42"/>
      <c r="F33" s="42"/>
      <c r="G33" s="42"/>
      <c r="H33" s="42"/>
      <c r="I33" s="42"/>
      <c r="J33" s="41" t="s">
        <v>9</v>
      </c>
      <c r="K33" s="43"/>
    </row>
    <row r="34" spans="3:11" ht="18" thickBot="1" x14ac:dyDescent="0.4"/>
    <row r="35" spans="3:11" x14ac:dyDescent="0.35">
      <c r="C35" s="44" t="s">
        <v>12</v>
      </c>
      <c r="D35" s="368" t="s">
        <v>20</v>
      </c>
      <c r="E35" s="368"/>
      <c r="F35" s="368"/>
      <c r="G35" s="45"/>
      <c r="H35" s="45"/>
      <c r="I35" s="45"/>
      <c r="J35" s="45"/>
      <c r="K35" s="46"/>
    </row>
    <row r="36" spans="3:11" x14ac:dyDescent="0.35">
      <c r="C36" s="26"/>
      <c r="D36" s="8" t="s">
        <v>14</v>
      </c>
      <c r="E36" s="32" t="s">
        <v>15</v>
      </c>
      <c r="F36" s="32"/>
      <c r="G36" s="32"/>
      <c r="H36" s="32"/>
      <c r="I36" s="32"/>
      <c r="J36" s="8" t="s">
        <v>9</v>
      </c>
      <c r="K36" s="38">
        <v>44690</v>
      </c>
    </row>
    <row r="37" spans="3:11" x14ac:dyDescent="0.35">
      <c r="C37" s="26"/>
      <c r="D37" s="8" t="s">
        <v>16</v>
      </c>
      <c r="E37" s="32" t="s">
        <v>8</v>
      </c>
      <c r="F37" s="32"/>
      <c r="G37" s="32"/>
      <c r="H37" s="32"/>
      <c r="I37" s="32"/>
      <c r="J37" s="8" t="s">
        <v>9</v>
      </c>
      <c r="K37" s="39">
        <v>44764</v>
      </c>
    </row>
    <row r="38" spans="3:11" x14ac:dyDescent="0.35">
      <c r="C38" s="26"/>
      <c r="D38" s="8"/>
      <c r="E38" s="32"/>
      <c r="F38" s="32"/>
      <c r="G38" s="32"/>
      <c r="H38" s="32"/>
      <c r="I38" s="32"/>
      <c r="J38" s="3"/>
      <c r="K38" s="5"/>
    </row>
    <row r="39" spans="3:11" x14ac:dyDescent="0.35">
      <c r="C39" s="26"/>
      <c r="D39" s="8" t="s">
        <v>17</v>
      </c>
      <c r="E39" s="32"/>
      <c r="F39" s="32"/>
      <c r="G39" s="32"/>
      <c r="H39" s="32"/>
      <c r="I39" s="32"/>
      <c r="J39" s="8" t="s">
        <v>9</v>
      </c>
      <c r="K39" s="40"/>
    </row>
    <row r="40" spans="3:11" ht="18" thickBot="1" x14ac:dyDescent="0.4">
      <c r="C40" s="28"/>
      <c r="D40" s="41" t="s">
        <v>17</v>
      </c>
      <c r="E40" s="42"/>
      <c r="F40" s="42"/>
      <c r="G40" s="42"/>
      <c r="H40" s="42"/>
      <c r="I40" s="42"/>
      <c r="J40" s="41" t="s">
        <v>9</v>
      </c>
      <c r="K40" s="43"/>
    </row>
    <row r="41" spans="3:11" ht="18" thickBot="1" x14ac:dyDescent="0.4"/>
    <row r="42" spans="3:11" x14ac:dyDescent="0.35">
      <c r="C42" s="44" t="s">
        <v>12</v>
      </c>
      <c r="D42" s="368" t="s">
        <v>21</v>
      </c>
      <c r="E42" s="368"/>
      <c r="F42" s="368"/>
      <c r="G42" s="45"/>
      <c r="H42" s="45"/>
      <c r="I42" s="45"/>
      <c r="J42" s="45"/>
      <c r="K42" s="46"/>
    </row>
    <row r="43" spans="3:11" x14ac:dyDescent="0.35">
      <c r="C43" s="26"/>
      <c r="D43" s="8" t="s">
        <v>14</v>
      </c>
      <c r="E43" s="32" t="s">
        <v>15</v>
      </c>
      <c r="F43" s="32"/>
      <c r="G43" s="32"/>
      <c r="H43" s="32"/>
      <c r="I43" s="32"/>
      <c r="J43" s="8" t="s">
        <v>9</v>
      </c>
      <c r="K43" s="38">
        <v>44690</v>
      </c>
    </row>
    <row r="44" spans="3:11" x14ac:dyDescent="0.35">
      <c r="C44" s="26"/>
      <c r="D44" s="8" t="s">
        <v>16</v>
      </c>
      <c r="E44" s="32" t="s">
        <v>8</v>
      </c>
      <c r="F44" s="32"/>
      <c r="G44" s="32"/>
      <c r="H44" s="32"/>
      <c r="I44" s="32"/>
      <c r="J44" s="8" t="s">
        <v>9</v>
      </c>
      <c r="K44" s="39">
        <v>44691</v>
      </c>
    </row>
    <row r="45" spans="3:11" x14ac:dyDescent="0.35">
      <c r="C45" s="26"/>
      <c r="D45" s="8"/>
      <c r="E45" s="32"/>
      <c r="F45" s="32"/>
      <c r="G45" s="32"/>
      <c r="H45" s="32"/>
      <c r="I45" s="32"/>
      <c r="J45" s="3"/>
      <c r="K45" s="5"/>
    </row>
    <row r="46" spans="3:11" x14ac:dyDescent="0.35">
      <c r="C46" s="26"/>
      <c r="D46" s="8" t="s">
        <v>17</v>
      </c>
      <c r="E46" s="32"/>
      <c r="F46" s="32"/>
      <c r="G46" s="32"/>
      <c r="H46" s="32"/>
      <c r="I46" s="32"/>
      <c r="J46" s="8" t="s">
        <v>9</v>
      </c>
      <c r="K46" s="40"/>
    </row>
    <row r="47" spans="3:11" ht="18" thickBot="1" x14ac:dyDescent="0.4">
      <c r="C47" s="28"/>
      <c r="D47" s="41" t="s">
        <v>17</v>
      </c>
      <c r="E47" s="42"/>
      <c r="F47" s="42"/>
      <c r="G47" s="42"/>
      <c r="H47" s="42"/>
      <c r="I47" s="42"/>
      <c r="J47" s="41" t="s">
        <v>9</v>
      </c>
      <c r="K47" s="43"/>
    </row>
    <row r="48" spans="3:11" ht="18" thickBot="1" x14ac:dyDescent="0.4"/>
    <row r="49" spans="3:11" x14ac:dyDescent="0.35">
      <c r="C49" s="44" t="s">
        <v>12</v>
      </c>
      <c r="D49" s="368" t="s">
        <v>22</v>
      </c>
      <c r="E49" s="368"/>
      <c r="F49" s="368"/>
      <c r="G49" s="45"/>
      <c r="H49" s="45"/>
      <c r="I49" s="45"/>
      <c r="J49" s="45"/>
      <c r="K49" s="46"/>
    </row>
    <row r="50" spans="3:11" x14ac:dyDescent="0.35">
      <c r="C50" s="26"/>
      <c r="D50" s="8" t="s">
        <v>14</v>
      </c>
      <c r="E50" s="32" t="s">
        <v>15</v>
      </c>
      <c r="F50" s="32"/>
      <c r="G50" s="32"/>
      <c r="H50" s="32"/>
      <c r="I50" s="32"/>
      <c r="J50" s="8" t="s">
        <v>9</v>
      </c>
      <c r="K50" s="38">
        <v>44690</v>
      </c>
    </row>
    <row r="51" spans="3:11" x14ac:dyDescent="0.35">
      <c r="C51" s="26"/>
      <c r="D51" s="8" t="s">
        <v>16</v>
      </c>
      <c r="E51" s="32" t="s">
        <v>8</v>
      </c>
      <c r="F51" s="32"/>
      <c r="G51" s="32"/>
      <c r="H51" s="32"/>
      <c r="I51" s="32"/>
      <c r="J51" s="8" t="s">
        <v>9</v>
      </c>
      <c r="K51" s="39">
        <v>44764</v>
      </c>
    </row>
    <row r="52" spans="3:11" x14ac:dyDescent="0.35">
      <c r="C52" s="26"/>
      <c r="D52" s="8"/>
      <c r="E52" s="32"/>
      <c r="F52" s="32"/>
      <c r="G52" s="32"/>
      <c r="H52" s="32"/>
      <c r="I52" s="32"/>
      <c r="J52" s="3"/>
      <c r="K52" s="5"/>
    </row>
    <row r="53" spans="3:11" x14ac:dyDescent="0.35">
      <c r="C53" s="26"/>
      <c r="D53" s="8" t="s">
        <v>17</v>
      </c>
      <c r="E53" s="32"/>
      <c r="F53" s="32"/>
      <c r="G53" s="32"/>
      <c r="H53" s="32"/>
      <c r="I53" s="32"/>
      <c r="J53" s="8" t="s">
        <v>9</v>
      </c>
      <c r="K53" s="40"/>
    </row>
    <row r="54" spans="3:11" ht="18" thickBot="1" x14ac:dyDescent="0.4">
      <c r="C54" s="28"/>
      <c r="D54" s="41" t="s">
        <v>17</v>
      </c>
      <c r="E54" s="42"/>
      <c r="F54" s="42"/>
      <c r="G54" s="42"/>
      <c r="H54" s="42"/>
      <c r="I54" s="42"/>
      <c r="J54" s="41" t="s">
        <v>9</v>
      </c>
      <c r="K54" s="43"/>
    </row>
    <row r="55" spans="3:11" ht="18" thickBot="1" x14ac:dyDescent="0.4"/>
    <row r="56" spans="3:11" x14ac:dyDescent="0.35">
      <c r="C56" s="44" t="s">
        <v>12</v>
      </c>
      <c r="D56" s="368" t="s">
        <v>23</v>
      </c>
      <c r="E56" s="368"/>
      <c r="F56" s="368"/>
      <c r="G56" s="45"/>
      <c r="H56" s="45"/>
      <c r="I56" s="45"/>
      <c r="J56" s="45"/>
      <c r="K56" s="46"/>
    </row>
    <row r="57" spans="3:11" x14ac:dyDescent="0.35">
      <c r="C57" s="26"/>
      <c r="D57" s="8" t="s">
        <v>14</v>
      </c>
      <c r="E57" s="32" t="s">
        <v>24</v>
      </c>
      <c r="F57" s="32"/>
      <c r="G57" s="32"/>
      <c r="H57" s="32"/>
      <c r="I57" s="32"/>
      <c r="J57" s="8" t="s">
        <v>9</v>
      </c>
      <c r="K57" s="38">
        <v>44690</v>
      </c>
    </row>
    <row r="58" spans="3:11" x14ac:dyDescent="0.35">
      <c r="C58" s="26"/>
      <c r="D58" s="8" t="s">
        <v>16</v>
      </c>
      <c r="E58" s="32" t="s">
        <v>8</v>
      </c>
      <c r="F58" s="32"/>
      <c r="G58" s="32"/>
      <c r="H58" s="32"/>
      <c r="I58" s="32"/>
      <c r="J58" s="8" t="s">
        <v>9</v>
      </c>
      <c r="K58" s="39">
        <v>44764</v>
      </c>
    </row>
    <row r="59" spans="3:11" x14ac:dyDescent="0.35">
      <c r="C59" s="26"/>
      <c r="D59" s="8"/>
      <c r="E59" s="32"/>
      <c r="F59" s="32"/>
      <c r="G59" s="32"/>
      <c r="H59" s="32"/>
      <c r="I59" s="32"/>
      <c r="J59" s="3"/>
      <c r="K59" s="5"/>
    </row>
    <row r="60" spans="3:11" x14ac:dyDescent="0.35">
      <c r="C60" s="26"/>
      <c r="D60" s="8" t="s">
        <v>17</v>
      </c>
      <c r="E60" s="32"/>
      <c r="F60" s="32"/>
      <c r="G60" s="32"/>
      <c r="H60" s="32"/>
      <c r="I60" s="32"/>
      <c r="J60" s="8" t="s">
        <v>9</v>
      </c>
      <c r="K60" s="40"/>
    </row>
    <row r="61" spans="3:11" ht="18" thickBot="1" x14ac:dyDescent="0.4">
      <c r="C61" s="28"/>
      <c r="D61" s="41" t="s">
        <v>17</v>
      </c>
      <c r="E61" s="42"/>
      <c r="F61" s="42"/>
      <c r="G61" s="42"/>
      <c r="H61" s="42"/>
      <c r="I61" s="42"/>
      <c r="J61" s="41" t="s">
        <v>9</v>
      </c>
      <c r="K61" s="43"/>
    </row>
  </sheetData>
  <mergeCells count="8">
    <mergeCell ref="D49:F49"/>
    <mergeCell ref="D56:F56"/>
    <mergeCell ref="D42:F42"/>
    <mergeCell ref="C1:Q1"/>
    <mergeCell ref="D14:F14"/>
    <mergeCell ref="D21:F21"/>
    <mergeCell ref="D28:F28"/>
    <mergeCell ref="D35:F3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961C4-2FBE-4B23-A140-93CC701728AA}">
  <sheetPr codeName="Sheet10"/>
  <dimension ref="B3:BS112"/>
  <sheetViews>
    <sheetView topLeftCell="F1" workbookViewId="0">
      <selection activeCell="D39" sqref="D39"/>
    </sheetView>
  </sheetViews>
  <sheetFormatPr defaultRowHeight="17.5" x14ac:dyDescent="0.35"/>
  <cols>
    <col min="2" max="2" width="41.25" style="49" customWidth="1"/>
    <col min="3" max="3" width="28.25" style="22" customWidth="1"/>
    <col min="5" max="5" width="20.25" customWidth="1"/>
    <col min="6" max="6" width="35" style="31" customWidth="1"/>
    <col min="7" max="7" width="26.6875" customWidth="1"/>
    <col min="8" max="8" width="13.0625" customWidth="1"/>
    <col min="14" max="14" width="5.0625" customWidth="1"/>
    <col min="15" max="15" width="17.4375" customWidth="1"/>
    <col min="18" max="18" width="19.9375" customWidth="1"/>
    <col min="22" max="22" width="21.25" customWidth="1"/>
    <col min="26" max="26" width="10.9375" customWidth="1"/>
    <col min="37" max="37" width="19.9375" customWidth="1"/>
    <col min="39" max="39" width="32.9375" customWidth="1"/>
  </cols>
  <sheetData>
    <row r="3" spans="2:71" ht="18" thickBot="1" x14ac:dyDescent="0.4">
      <c r="AD3" t="s">
        <v>290</v>
      </c>
      <c r="AJ3" t="s">
        <v>289</v>
      </c>
      <c r="AO3" t="s">
        <v>310</v>
      </c>
      <c r="AT3" t="s">
        <v>345</v>
      </c>
      <c r="AW3" t="s">
        <v>344</v>
      </c>
      <c r="AZ3" t="s">
        <v>346</v>
      </c>
      <c r="BE3" t="s">
        <v>347</v>
      </c>
      <c r="BH3" t="s">
        <v>348</v>
      </c>
      <c r="BK3" t="s">
        <v>349</v>
      </c>
      <c r="BN3" t="s">
        <v>350</v>
      </c>
      <c r="BQ3" t="s">
        <v>351</v>
      </c>
    </row>
    <row r="4" spans="2:71" ht="47.15" customHeight="1" x14ac:dyDescent="0.35">
      <c r="B4" s="58" t="s">
        <v>138</v>
      </c>
      <c r="C4" s="87" t="str">
        <f>IF(D4=0,E4,D4)</f>
        <v>Incomplete</v>
      </c>
      <c r="D4" s="89">
        <f>'Response Form'!L2</f>
        <v>0</v>
      </c>
      <c r="E4" t="s">
        <v>139</v>
      </c>
      <c r="H4" s="99"/>
      <c r="I4" s="100"/>
      <c r="J4" s="100"/>
      <c r="K4" s="571" t="str">
        <f>IF(SUM(I5:I7)=0,"",_xlfn.CONCAT(J5:K7))</f>
        <v/>
      </c>
      <c r="L4" s="572"/>
      <c r="O4" s="99"/>
      <c r="P4" s="100"/>
      <c r="Q4" s="100"/>
      <c r="R4" s="573" t="str">
        <f>_xlfn.CONCAT(Q5:R16)</f>
        <v/>
      </c>
      <c r="S4" s="573"/>
      <c r="V4" s="99"/>
      <c r="W4" s="100"/>
      <c r="X4" s="100"/>
      <c r="Y4" s="574" t="str">
        <f>_xlfn.CONCAT(X5:Y13)</f>
        <v/>
      </c>
      <c r="Z4" s="574"/>
      <c r="AB4" s="99"/>
      <c r="AC4" s="100"/>
      <c r="AD4" s="100" t="str">
        <f>_xlfn.CONCAT(AD5:AD11)</f>
        <v/>
      </c>
      <c r="AE4" s="226" t="str">
        <f>_xlfn.CONCAT(AD5:AE11)</f>
        <v/>
      </c>
      <c r="AH4" s="99"/>
      <c r="AI4" s="100"/>
      <c r="AJ4" s="100"/>
      <c r="AK4" s="182" t="str">
        <f>_xlfn.CONCAT(AJ5:AK11)</f>
        <v xml:space="preserve">Tropical Cyclone. </v>
      </c>
      <c r="AM4" s="21"/>
      <c r="AN4" s="50"/>
      <c r="AO4" s="50"/>
      <c r="AP4" s="240" t="str">
        <f>_xlfn.CONCAT(AO5:AP11)</f>
        <v/>
      </c>
      <c r="AT4" t="s">
        <v>250</v>
      </c>
      <c r="AV4" t="str">
        <f>_xlfn.CONCAT(AU5:AV27)</f>
        <v/>
      </c>
      <c r="AW4" t="s">
        <v>250</v>
      </c>
      <c r="AY4" t="str">
        <f>_xlfn.CONCAT(AX5:AY27)</f>
        <v/>
      </c>
      <c r="AZ4" t="s">
        <v>250</v>
      </c>
      <c r="BB4" t="str">
        <f>_xlfn.CONCAT(BA5:BB27)</f>
        <v/>
      </c>
      <c r="BE4" t="s">
        <v>250</v>
      </c>
      <c r="BG4" t="str">
        <f>_xlfn.CONCAT(BF5:BG27)</f>
        <v/>
      </c>
      <c r="BH4" t="s">
        <v>250</v>
      </c>
      <c r="BJ4" t="str">
        <f>_xlfn.CONCAT(BI5:BJ27)</f>
        <v/>
      </c>
      <c r="BK4" t="s">
        <v>250</v>
      </c>
      <c r="BM4" t="str">
        <f>_xlfn.CONCAT(BL5:BM27)</f>
        <v/>
      </c>
      <c r="BN4" t="s">
        <v>250</v>
      </c>
      <c r="BP4" t="str">
        <f>_xlfn.CONCAT(BO5:BP27)</f>
        <v/>
      </c>
      <c r="BQ4" t="s">
        <v>250</v>
      </c>
      <c r="BS4" t="str">
        <f>_xlfn.CONCAT(BR5:BS27)</f>
        <v/>
      </c>
    </row>
    <row r="5" spans="2:71" x14ac:dyDescent="0.35">
      <c r="B5" s="88" t="s">
        <v>140</v>
      </c>
      <c r="C5" s="87" t="str">
        <f>IF(D5=0,E5,D5)</f>
        <v>Incomplete</v>
      </c>
      <c r="D5">
        <f>'Response Form'!J4</f>
        <v>0</v>
      </c>
      <c r="E5" t="s">
        <v>139</v>
      </c>
      <c r="H5" s="26" t="str">
        <f>LEFT('Backroom - question output calc'!B4,LEN('Backroom - question output calc'!B4)-11)</f>
        <v>Coastal / Marine</v>
      </c>
      <c r="I5" s="101">
        <f>'Backroom - question output calc'!E4</f>
        <v>0</v>
      </c>
      <c r="J5" s="18" t="str">
        <f>IF(I5=1,H5,"")</f>
        <v/>
      </c>
      <c r="K5" t="str">
        <f>IF(I5=0,"",IF(SUM(I6:I7)=1,", and ",IF(SUM(I6:I7)=0,". ",", ")))</f>
        <v/>
      </c>
      <c r="L5" s="27"/>
      <c r="O5" s="26" t="str">
        <f>'Backroom - question output calc'!B7</f>
        <v>Inhabited Buildings</v>
      </c>
      <c r="P5">
        <f>'Backroom - question output calc'!E7</f>
        <v>0</v>
      </c>
      <c r="Q5" s="18" t="str">
        <f>IF(P5=1,O5,"")</f>
        <v/>
      </c>
      <c r="R5" t="str">
        <f>IF(P5=0,"",IF(SUM(P6:P16)=1,", and ",IF(SUM(P6:P16)=0,". ",", ")))</f>
        <v/>
      </c>
      <c r="S5" s="27"/>
      <c r="V5" s="26" t="str">
        <f>'Backroom - question output calc'!B18</f>
        <v>Outdoor Land Activities</v>
      </c>
      <c r="W5">
        <f>'Backroom - question output calc'!E18</f>
        <v>0</v>
      </c>
      <c r="X5" s="18" t="str">
        <f>IF(W5=1,V5,"")</f>
        <v/>
      </c>
      <c r="Y5" t="str">
        <f>IF(W5=0,"",IF(SUM(W6:W13)=1,", and ",IF(SUM(W6:W13)=0,". ",", ")))</f>
        <v/>
      </c>
      <c r="Z5" s="27"/>
      <c r="AB5" s="26" t="str">
        <f>'Backroom - question output calc'!H10</f>
        <v>Coastal Inundation</v>
      </c>
      <c r="AC5">
        <f>'Backroom - question output calc'!J10</f>
        <v>0</v>
      </c>
      <c r="AD5" s="134" t="str">
        <f>IF(AC5=1,AB5,"")</f>
        <v/>
      </c>
      <c r="AE5" s="27" t="str">
        <f>IF(AC5=0,"",IF(SUM(AC6:AC11)=1,", and ",IF(SUM(AC6:AC11)=0,". ",", ")))</f>
        <v/>
      </c>
      <c r="AH5" s="26" t="str">
        <f>'Backroom - question output calc'!B30</f>
        <v>Coastal Inundation</v>
      </c>
      <c r="AI5">
        <f>'Backroom - question output calc'!C30</f>
        <v>0</v>
      </c>
      <c r="AJ5" s="134" t="str">
        <f>IF(AI5=1,AH5,"")</f>
        <v/>
      </c>
      <c r="AK5" s="27" t="str">
        <f>IF(AI5=0,"",IF(SUM(AI6:AI11)=1,", and ",IF(SUM(AI6:AI11)=0,". ",", ")))</f>
        <v/>
      </c>
      <c r="AM5" s="23" t="str">
        <f>IF('Backroom - question input'!O118&lt;&gt;"",'Backroom - question input'!O118,"")</f>
        <v>Tropical Cyclone</v>
      </c>
      <c r="AN5">
        <f>IF('Response Form'!P153='Backroom - question input'!$E$2,1,0)</f>
        <v>0</v>
      </c>
      <c r="AO5" s="134" t="str">
        <f>IF(AN5=1,AM5,"")</f>
        <v/>
      </c>
      <c r="AP5" s="19" t="str">
        <f>IF(AN5=0,"",IF(SUM(AN6:$AN$11)=1,", and ",IF(SUM(AN6:$AN$11)=0,". ",", ")))</f>
        <v/>
      </c>
      <c r="AS5" t="str">
        <f>'Backroom - question output calc'!B4</f>
        <v>Coastal / Marine Ecosystems</v>
      </c>
      <c r="AT5" s="248" cm="1">
        <f t="array" ref="AT5">_xlfn.XLOOKUP(1,(RiskStatements[Climate Variables/Explainers]='View Results Report'!$B$31)*(RiskStatements[Elements at Risk]='Backroom - report content'!$AS5)*(RiskStatements[Risk Score - Present]&gt;2),RiskStatements[Include],0,0)</f>
        <v>0</v>
      </c>
      <c r="AU5" t="str">
        <f>IF(AT5=1,$AS5,"")</f>
        <v/>
      </c>
      <c r="AV5" t="str">
        <f>IF(AT5=0,"",IF(SUM(AT6:AT$27)=1,", and ",IF(SUM(AT6:AT$27)=0,". ",", ")))</f>
        <v/>
      </c>
      <c r="AW5" s="248" cm="1">
        <f t="array" ref="AW5">_xlfn.XLOOKUP(1,(RiskStatements[Climate Variables/Explainers]='View Results Report'!$B$32)*(RiskStatements[Elements at Risk]='Backroom - report content'!$AS5)*(RiskStatements[Risk Score - Present]&gt;2),RiskStatements[Include],0,0)</f>
        <v>0</v>
      </c>
      <c r="AX5" t="str">
        <f>IF(AW5=1,$AS5,"")</f>
        <v/>
      </c>
      <c r="AY5" t="str">
        <f>IF(AW5=0,"",IF(SUM(AW6:AW$27)=1,", and ",IF(SUM(AW6:AW$27)=0,". ",", ")))</f>
        <v/>
      </c>
      <c r="AZ5" s="248" cm="1">
        <f t="array" ref="AZ5">_xlfn.XLOOKUP(1,(RiskStatements[Climate Variables/Explainers]='View Results Report'!$B$33)*(RiskStatements[Elements at Risk]='Backroom - report content'!$AS5)*(RiskStatements[Risk Score - Present]&gt;2),RiskStatements[Include],0,0)</f>
        <v>0</v>
      </c>
      <c r="BA5" t="str">
        <f>IF(AZ5=1,$AS5,"")</f>
        <v/>
      </c>
      <c r="BB5" t="str">
        <f>IF(AZ5=0,"",IF(SUM(AZ6:AZ$27)=1,", and ",IF(SUM(AZ6:AZ$27)=0,". ",", ")))</f>
        <v/>
      </c>
      <c r="BD5" t="str">
        <f>'Backroom - question output calc'!B30</f>
        <v>Coastal Inundation</v>
      </c>
      <c r="BE5" s="248" cm="1">
        <f t="array" ref="BE5">_xlfn.XLOOKUP(1,(RiskStatements[Elements at Risk]='View Results Report'!$B$36)*(RiskStatements[Climate Variables/Explainers]='Backroom - report content'!$BD5)*(RiskStatements[Risk Score - Present]&gt;2),RiskStatements[Include],0,0)</f>
        <v>0</v>
      </c>
      <c r="BF5" t="str">
        <f>IF(BE5=1,$BD5,"")</f>
        <v/>
      </c>
      <c r="BG5" t="str">
        <f>IF(BE5=0,"",IF(SUM(BE6:BE$27)=1,", and ",IF(SUM(BE6:BE$27)=0,". ",", ")))</f>
        <v/>
      </c>
      <c r="BH5" s="248" cm="1">
        <f t="array" ref="BH5">_xlfn.XLOOKUP(1,(RiskStatements[Elements at Risk]='View Results Report'!$B$37)*(RiskStatements[Climate Variables/Explainers]='Backroom - report content'!$BD5)*(RiskStatements[Risk Score - Present]&gt;2),RiskStatements[Include],0,0)</f>
        <v>0</v>
      </c>
      <c r="BI5" t="str">
        <f>IF(BH5=1,$BD5,"")</f>
        <v/>
      </c>
      <c r="BJ5" t="str">
        <f>IF(BH5=0,"",IF(SUM(BH6:BH$27)=1,", and ",IF(SUM(BH6:BH$27)=0,". ",", ")))</f>
        <v/>
      </c>
      <c r="BK5" s="248" cm="1">
        <f t="array" ref="BK5">_xlfn.XLOOKUP(1,(RiskStatements[Elements at Risk]='View Results Report'!$B$38)*(RiskStatements[Climate Variables/Explainers]='Backroom - report content'!$BD5)*(RiskStatements[Risk Score - Present]&gt;2),RiskStatements[Include],0,0)</f>
        <v>0</v>
      </c>
      <c r="BL5" t="str">
        <f>IF(BK5=1,$BD5,"")</f>
        <v/>
      </c>
      <c r="BM5" t="str">
        <f>IF(BK5=0,"",IF(SUM(BK6:BK$27)=1,", and ",IF(SUM(BK6:BK$27)=0,". ",", ")))</f>
        <v/>
      </c>
      <c r="BN5" s="248" cm="1">
        <f t="array" ref="BN5">_xlfn.XLOOKUP(1,(RiskStatements[Elements at Risk]='View Results Report'!$B$39)*(RiskStatements[Climate Variables/Explainers]='Backroom - report content'!$BD5)*(RiskStatements[Risk Score - Present]&gt;2),RiskStatements[Include],0,0)</f>
        <v>0</v>
      </c>
      <c r="BO5" t="str">
        <f>IF(BN5=1,$BD5,"")</f>
        <v/>
      </c>
      <c r="BP5" t="str">
        <f>IF(BN5=0,"",IF(SUM(BN6:BN$27)=1,", and ",IF(SUM(BN6:BN$27)=0,". ",", ")))</f>
        <v/>
      </c>
      <c r="BQ5" s="248" cm="1">
        <f t="array" ref="BQ5">_xlfn.XLOOKUP(1,(RiskStatements[Elements at Risk]='View Results Report'!$B$40)*(RiskStatements[Climate Variables/Explainers]='Backroom - report content'!$BD5)*(RiskStatements[Risk Score - Present]&gt;2),RiskStatements[Include],0,0)</f>
        <v>0</v>
      </c>
      <c r="BR5" t="str">
        <f>IF(BQ5=1,$BD5,"")</f>
        <v/>
      </c>
      <c r="BS5" t="str">
        <f>IF(BQ5=0,"",IF(SUM(BQ6:BQ$27)=1,", and ",IF(SUM(BQ6:BQ$27)=0,". ",", ")))</f>
        <v/>
      </c>
    </row>
    <row r="6" spans="2:71" x14ac:dyDescent="0.35">
      <c r="B6" s="58" t="s">
        <v>141</v>
      </c>
      <c r="C6" s="87" t="str">
        <f>IF(D6=0,E6,D6)</f>
        <v>Incomplete</v>
      </c>
      <c r="D6">
        <f>'Response Form'!J6</f>
        <v>0</v>
      </c>
      <c r="E6" t="s">
        <v>139</v>
      </c>
      <c r="H6" s="26" t="str">
        <f>LEFT('Backroom - question output calc'!B5,LEN('Backroom - question output calc'!B5)-11)</f>
        <v>Terrestrial</v>
      </c>
      <c r="I6" s="101">
        <f>'Backroom - question output calc'!E5</f>
        <v>0</v>
      </c>
      <c r="J6" s="18" t="str">
        <f>IF(I6=1,H6,"")</f>
        <v/>
      </c>
      <c r="K6" t="str">
        <f>IF(I6=0,"",IF(I7=1,", and ",IF(I7=0," Ecosystems. ",", ")))</f>
        <v/>
      </c>
      <c r="L6" s="27"/>
      <c r="O6" s="26" t="str">
        <f>'Backroom - question output calc'!B8</f>
        <v>Ports / Wharves</v>
      </c>
      <c r="P6">
        <f>'Backroom - question output calc'!E8</f>
        <v>0</v>
      </c>
      <c r="Q6" s="18" t="str">
        <f t="shared" ref="Q6:Q15" si="0">IF(P6=1,O6,"")</f>
        <v/>
      </c>
      <c r="R6" t="str">
        <f>IF(P6=0,"",IF(SUM(P7:P16)=1,", and ",IF(SUM(P7:P16)=0,". ",", ")))</f>
        <v/>
      </c>
      <c r="S6" s="27"/>
      <c r="V6" s="26" t="str">
        <f>'Backroom - question output calc'!B19</f>
        <v>Outdoor Marine Activities</v>
      </c>
      <c r="W6">
        <f>'Backroom - question output calc'!E19</f>
        <v>0</v>
      </c>
      <c r="X6" s="18" t="str">
        <f t="shared" ref="X6:X13" si="1">IF(W6=1,V6,"")</f>
        <v/>
      </c>
      <c r="Y6" t="str">
        <f>IF(W6=0,"",IF(SUM(W7:W13)=1,", and ",IF(SUM(W7:W13)=0,". ",", ")))</f>
        <v/>
      </c>
      <c r="Z6" s="27"/>
      <c r="AB6" s="26" t="str">
        <f>'Backroom - question output calc'!H11</f>
        <v>Extreme Rainfall</v>
      </c>
      <c r="AC6">
        <f>'Backroom - question output calc'!J11</f>
        <v>0</v>
      </c>
      <c r="AD6" s="152" t="str">
        <f t="shared" ref="AD6:AD11" si="2">IF(AC6=1,AB6,"")</f>
        <v/>
      </c>
      <c r="AE6" s="27" t="str">
        <f>IF(AC6=0,"",IF(SUM(AC7:AC11)=1,", and ",IF(SUM(AC7:AC11)=0,". ",", ")))</f>
        <v/>
      </c>
      <c r="AH6" s="26" t="str">
        <f>'Backroom - question output calc'!B31</f>
        <v>Extreme Rainfall</v>
      </c>
      <c r="AI6">
        <f>'Backroom - question output calc'!C31</f>
        <v>0</v>
      </c>
      <c r="AJ6" s="152" t="str">
        <f t="shared" ref="AJ6:AJ11" si="3">IF(AI6=1,AH6,"")</f>
        <v/>
      </c>
      <c r="AK6" s="27" t="str">
        <f>IF(AI6=0,"",IF(SUM(AI7:AI11)=1,", and ",IF(SUM(AI7:AI11)=0,". ",", ")))</f>
        <v/>
      </c>
      <c r="AM6" s="23" t="str">
        <f>IF('Backroom - question input'!O119&lt;&gt;"",'Backroom - question input'!O119,"")</f>
        <v/>
      </c>
      <c r="AN6">
        <f>IF('Response Form'!P154='Backroom - question input'!$E$2,1,0)</f>
        <v>0</v>
      </c>
      <c r="AO6" s="134" t="str">
        <f t="shared" ref="AO6:AO11" si="4">IF(AN6=1,AM6,"")</f>
        <v/>
      </c>
      <c r="AP6" s="19" t="str">
        <f>IF(AN6=0,"",IF(SUM(AN7:$AN$11)=1,", and ",IF(SUM(AN7:$AN$11)=0,". ",", ")))</f>
        <v/>
      </c>
      <c r="AS6" t="str">
        <f>'Backroom - question output calc'!B5</f>
        <v>Terrestrial Ecosystems</v>
      </c>
      <c r="AT6" s="248" cm="1">
        <f t="array" ref="AT6">_xlfn.XLOOKUP(1,(RiskStatements[Climate Variables/Explainers]='View Results Report'!$B$31)*(RiskStatements[Elements at Risk]='Backroom - report content'!$AS6)*(RiskStatements[Risk Score - Present]&gt;2),RiskStatements[Include],0,0)</f>
        <v>0</v>
      </c>
      <c r="AU6" t="str">
        <f t="shared" ref="AU6:AU27" si="5">IF(AT6=1,$AS6,"")</f>
        <v/>
      </c>
      <c r="AV6" t="str">
        <f>IF(AT6=0,"",IF(SUM(AT7:AT$27)=1,", and ",IF(SUM(AT7:AT$27)=0,". ",", ")))</f>
        <v/>
      </c>
      <c r="AW6" s="248" cm="1">
        <f t="array" ref="AW6">_xlfn.XLOOKUP(1,(RiskStatements[Climate Variables/Explainers]='View Results Report'!$B$32)*(RiskStatements[Elements at Risk]='Backroom - report content'!$AS6)*(RiskStatements[Risk Score - Present]&gt;2),RiskStatements[Include],0,0)</f>
        <v>0</v>
      </c>
      <c r="AX6" t="str">
        <f t="shared" ref="AX6:AX27" si="6">IF(AW6=1,$AS6,"")</f>
        <v/>
      </c>
      <c r="AY6" t="str">
        <f>IF(AW6=0,"",IF(SUM(AW7:AW$27)=1,", and ",IF(SUM(AW7:AW$27)=0,". ",", ")))</f>
        <v/>
      </c>
      <c r="AZ6" s="248" cm="1">
        <f t="array" ref="AZ6">_xlfn.XLOOKUP(1,(RiskStatements[Climate Variables/Explainers]='View Results Report'!$B$33)*(RiskStatements[Elements at Risk]='Backroom - report content'!$AS6)*(RiskStatements[Risk Score - Present]&gt;2),RiskStatements[Include],0,0)</f>
        <v>0</v>
      </c>
      <c r="BA6" t="str">
        <f t="shared" ref="BA6:BA27" si="7">IF(AZ6=1,$AS6,"")</f>
        <v/>
      </c>
      <c r="BB6" t="str">
        <f>IF(AZ6=0,"",IF(SUM(AZ7:AZ$27)=1,", and ",IF(SUM(AZ7:AZ$27)=0,". ",", ")))</f>
        <v/>
      </c>
      <c r="BD6" t="str">
        <f>'Backroom - question output calc'!B31</f>
        <v>Extreme Rainfall</v>
      </c>
      <c r="BE6" s="248" cm="1">
        <f t="array" ref="BE6">_xlfn.XLOOKUP(1,(RiskStatements[Elements at Risk]='View Results Report'!$B$36)*(RiskStatements[Climate Variables/Explainers]='Backroom - report content'!$BD6)*(RiskStatements[Risk Score - Present]&gt;2),RiskStatements[Include],0,0)</f>
        <v>0</v>
      </c>
      <c r="BF6" t="str">
        <f t="shared" ref="BF6:BF11" si="8">IF(BE6=1,$BD6,"")</f>
        <v/>
      </c>
      <c r="BG6" t="str">
        <f>IF(BE6=0,"",IF(SUM(BE7:BE$27)=1,", and ",IF(SUM(BE7:BE$27)=0,". ",", ")))</f>
        <v/>
      </c>
      <c r="BH6" s="248" cm="1">
        <f t="array" ref="BH6">_xlfn.XLOOKUP(1,(RiskStatements[Elements at Risk]='View Results Report'!$B$37)*(RiskStatements[Climate Variables/Explainers]='Backroom - report content'!$BD6)*(RiskStatements[Risk Score - Present]&gt;2),RiskStatements[Include],0,0)</f>
        <v>0</v>
      </c>
      <c r="BI6" t="str">
        <f t="shared" ref="BI6:BI11" si="9">IF(BH6=1,$BD6,"")</f>
        <v/>
      </c>
      <c r="BJ6" t="str">
        <f>IF(BH6=0,"",IF(SUM(BH7:BH$27)=1,", and ",IF(SUM(BH7:BH$27)=0,". ",", ")))</f>
        <v/>
      </c>
      <c r="BK6" s="248" cm="1">
        <f t="array" ref="BK6">_xlfn.XLOOKUP(1,(RiskStatements[Elements at Risk]='View Results Report'!$B$38)*(RiskStatements[Climate Variables/Explainers]='Backroom - report content'!$BD6)*(RiskStatements[Risk Score - Present]&gt;2),RiskStatements[Include],0,0)</f>
        <v>0</v>
      </c>
      <c r="BL6" t="str">
        <f t="shared" ref="BL6:BL11" si="10">IF(BK6=1,$BD6,"")</f>
        <v/>
      </c>
      <c r="BM6" t="str">
        <f>IF(BK6=0,"",IF(SUM(BK7:BK$27)=1,", and ",IF(SUM(BK7:BK$27)=0,". ",", ")))</f>
        <v/>
      </c>
      <c r="BN6" s="248" cm="1">
        <f t="array" ref="BN6">_xlfn.XLOOKUP(1,(RiskStatements[Elements at Risk]='View Results Report'!$B$39)*(RiskStatements[Climate Variables/Explainers]='Backroom - report content'!$BD6)*(RiskStatements[Risk Score - Present]&gt;2),RiskStatements[Include],0,0)</f>
        <v>0</v>
      </c>
      <c r="BO6" t="str">
        <f t="shared" ref="BO6:BO11" si="11">IF(BN6=1,$BD6,"")</f>
        <v/>
      </c>
      <c r="BP6" t="str">
        <f>IF(BN6=0,"",IF(SUM(BN7:BN$27)=1,", and ",IF(SUM(BN7:BN$27)=0,". ",", ")))</f>
        <v/>
      </c>
      <c r="BQ6" s="248" cm="1">
        <f t="array" ref="BQ6">_xlfn.XLOOKUP(1,(RiskStatements[Elements at Risk]='View Results Report'!$B$40)*(RiskStatements[Climate Variables/Explainers]='Backroom - report content'!$BD6)*(RiskStatements[Risk Score - Present]&gt;2),RiskStatements[Include],0,0)</f>
        <v>0</v>
      </c>
      <c r="BR6" t="str">
        <f t="shared" ref="BR6:BR11" si="12">IF(BQ6=1,$BD6,"")</f>
        <v/>
      </c>
      <c r="BS6" t="str">
        <f>IF(BQ6=0,"",IF(SUM(BQ7:BQ$27)=1,", and ",IF(SUM(BQ7:BQ$27)=0,". ",", ")))</f>
        <v/>
      </c>
    </row>
    <row r="7" spans="2:71" ht="18" thickBot="1" x14ac:dyDescent="0.4">
      <c r="F7" s="31" t="s">
        <v>142</v>
      </c>
      <c r="H7" s="28" t="str">
        <f>LEFT('Backroom - question output calc'!B6,LEN('Backroom - question output calc'!B6)-11)</f>
        <v>Freshwater</v>
      </c>
      <c r="I7" s="102">
        <f>'Backroom - question output calc'!E6</f>
        <v>0</v>
      </c>
      <c r="J7" s="29" t="str">
        <f>IF(I7=1,H7,"")</f>
        <v/>
      </c>
      <c r="K7" s="10" t="str">
        <f>IF(I7=0,""," Ecosystems. ")</f>
        <v/>
      </c>
      <c r="L7" s="12"/>
      <c r="O7" s="26" t="str">
        <f>'Backroom - question output calc'!B9</f>
        <v>Airports / Airfields</v>
      </c>
      <c r="P7">
        <f>'Backroom - question output calc'!E9</f>
        <v>0</v>
      </c>
      <c r="Q7" s="18" t="str">
        <f t="shared" si="0"/>
        <v/>
      </c>
      <c r="R7" t="str">
        <f>IF(P7=0,"",IF(SUM(P8:P16)=1,", and ",IF(SUM(P8:P16)=0,". ",", ")))</f>
        <v/>
      </c>
      <c r="S7" s="27"/>
      <c r="V7" s="26" t="str">
        <f>'Backroom - question output calc'!B20</f>
        <v>Outdoor Freshwater Activities</v>
      </c>
      <c r="W7">
        <f>'Backroom - question output calc'!E20</f>
        <v>0</v>
      </c>
      <c r="X7" s="18" t="str">
        <f t="shared" si="1"/>
        <v/>
      </c>
      <c r="Y7" t="str">
        <f>IF(W7=0,"",IF(SUM(W8:W13)=1,", and ",IF(SUM(W8:W13)=0,". ",", ")))</f>
        <v/>
      </c>
      <c r="Z7" s="27"/>
      <c r="AB7" s="26" t="str">
        <f>'Backroom - question output calc'!H12</f>
        <v>Tropical Cyclone</v>
      </c>
      <c r="AC7">
        <f>'Backroom - question output calc'!J12</f>
        <v>0</v>
      </c>
      <c r="AD7" s="152" t="str">
        <f t="shared" si="2"/>
        <v/>
      </c>
      <c r="AE7" s="27" t="str">
        <f>IF(AC7=0,"",IF(SUM(AC8:AC11)=1,", and ",IF(SUM(AC8:AC11)=0,". ",", ")))</f>
        <v/>
      </c>
      <c r="AH7" s="26" t="str">
        <f>'Backroom - question output calc'!B32</f>
        <v>Tropical Cyclone</v>
      </c>
      <c r="AI7">
        <f>'Backroom - question output calc'!C32</f>
        <v>1</v>
      </c>
      <c r="AJ7" s="152" t="str">
        <f t="shared" si="3"/>
        <v>Tropical Cyclone</v>
      </c>
      <c r="AK7" s="27" t="str">
        <f>IF(AI7=0,"",IF(SUM(AI8:AI11)=1,", and ",IF(SUM(AI8:AI11)=0,". ",", ")))</f>
        <v xml:space="preserve">. </v>
      </c>
      <c r="AM7" s="23" t="str">
        <f>IF('Backroom - question input'!O120&lt;&gt;"",'Backroom - question input'!O120,"")</f>
        <v/>
      </c>
      <c r="AN7">
        <f>IF('Response Form'!P155='Backroom - question input'!$E$2,1,0)</f>
        <v>0</v>
      </c>
      <c r="AO7" s="134" t="str">
        <f t="shared" si="4"/>
        <v/>
      </c>
      <c r="AP7" s="19" t="str">
        <f>IF(AN7=0,"",IF(SUM(AN8:$AN$11)=1,", and ",IF(SUM(AN8:$AN$11)=0,". ",", ")))</f>
        <v/>
      </c>
      <c r="AS7" t="str">
        <f>'Backroom - question output calc'!B6</f>
        <v>Freshwater Ecosystems</v>
      </c>
      <c r="AT7" s="248" cm="1">
        <f t="array" ref="AT7">_xlfn.XLOOKUP(1,(RiskStatements[Climate Variables/Explainers]='View Results Report'!$B$31)*(RiskStatements[Elements at Risk]='Backroom - report content'!$AS7)*(RiskStatements[Risk Score - Present]&gt;2),RiskStatements[Include],0,0)</f>
        <v>0</v>
      </c>
      <c r="AU7" t="str">
        <f t="shared" si="5"/>
        <v/>
      </c>
      <c r="AV7" t="str">
        <f>IF(AT7=0,"",IF(SUM(AT8:AT$27)=1,", and ",IF(SUM(AT8:AT$27)=0,". ",", ")))</f>
        <v/>
      </c>
      <c r="AW7" s="248" cm="1">
        <f t="array" ref="AW7">_xlfn.XLOOKUP(1,(RiskStatements[Climate Variables/Explainers]='View Results Report'!$B$32)*(RiskStatements[Elements at Risk]='Backroom - report content'!$AS7)*(RiskStatements[Risk Score - Present]&gt;2),RiskStatements[Include],0,0)</f>
        <v>0</v>
      </c>
      <c r="AX7" t="str">
        <f t="shared" si="6"/>
        <v/>
      </c>
      <c r="AY7" t="str">
        <f>IF(AW7=0,"",IF(SUM(AW8:AW$27)=1,", and ",IF(SUM(AW8:AW$27)=0,". ",", ")))</f>
        <v/>
      </c>
      <c r="AZ7" s="248" cm="1">
        <f t="array" ref="AZ7">_xlfn.XLOOKUP(1,(RiskStatements[Climate Variables/Explainers]='View Results Report'!$B$33)*(RiskStatements[Elements at Risk]='Backroom - report content'!$AS7)*(RiskStatements[Risk Score - Present]&gt;2),RiskStatements[Include],0,0)</f>
        <v>0</v>
      </c>
      <c r="BA7" t="str">
        <f t="shared" si="7"/>
        <v/>
      </c>
      <c r="BB7" t="str">
        <f>IF(AZ7=0,"",IF(SUM(AZ8:AZ$27)=1,", and ",IF(SUM(AZ8:AZ$27)=0,". ",", ")))</f>
        <v/>
      </c>
      <c r="BD7" t="str">
        <f>'Backroom - question output calc'!B32</f>
        <v>Tropical Cyclone</v>
      </c>
      <c r="BE7" s="248" cm="1">
        <f t="array" ref="BE7">_xlfn.XLOOKUP(1,(RiskStatements[Elements at Risk]='View Results Report'!$B$36)*(RiskStatements[Climate Variables/Explainers]='Backroom - report content'!$BD7)*(RiskStatements[Risk Score - Present]&gt;2),RiskStatements[Include],0,0)</f>
        <v>0</v>
      </c>
      <c r="BF7" t="str">
        <f t="shared" si="8"/>
        <v/>
      </c>
      <c r="BG7" t="str">
        <f>IF(BE7=0,"",IF(SUM(BE8:BE$27)=1,", and ",IF(SUM(BE8:BE$27)=0,". ",", ")))</f>
        <v/>
      </c>
      <c r="BH7" s="248" cm="1">
        <f t="array" ref="BH7">_xlfn.XLOOKUP(1,(RiskStatements[Elements at Risk]='View Results Report'!$B$37)*(RiskStatements[Climate Variables/Explainers]='Backroom - report content'!$BD7)*(RiskStatements[Risk Score - Present]&gt;2),RiskStatements[Include],0,0)</f>
        <v>0</v>
      </c>
      <c r="BI7" t="str">
        <f t="shared" si="9"/>
        <v/>
      </c>
      <c r="BJ7" t="str">
        <f>IF(BH7=0,"",IF(SUM(BH8:BH$27)=1,", and ",IF(SUM(BH8:BH$27)=0,". ",", ")))</f>
        <v/>
      </c>
      <c r="BK7" s="248" cm="1">
        <f t="array" ref="BK7">_xlfn.XLOOKUP(1,(RiskStatements[Elements at Risk]='View Results Report'!$B$38)*(RiskStatements[Climate Variables/Explainers]='Backroom - report content'!$BD7)*(RiskStatements[Risk Score - Present]&gt;2),RiskStatements[Include],0,0)</f>
        <v>0</v>
      </c>
      <c r="BL7" t="str">
        <f t="shared" si="10"/>
        <v/>
      </c>
      <c r="BM7" t="str">
        <f>IF(BK7=0,"",IF(SUM(BK8:BK$27)=1,", and ",IF(SUM(BK8:BK$27)=0,". ",", ")))</f>
        <v/>
      </c>
      <c r="BN7" s="248" cm="1">
        <f t="array" ref="BN7">_xlfn.XLOOKUP(1,(RiskStatements[Elements at Risk]='View Results Report'!$B$39)*(RiskStatements[Climate Variables/Explainers]='Backroom - report content'!$BD7)*(RiskStatements[Risk Score - Present]&gt;2),RiskStatements[Include],0,0)</f>
        <v>0</v>
      </c>
      <c r="BO7" t="str">
        <f t="shared" si="11"/>
        <v/>
      </c>
      <c r="BP7" t="str">
        <f>IF(BN7=0,"",IF(SUM(BN8:BN$27)=1,", and ",IF(SUM(BN8:BN$27)=0,". ",", ")))</f>
        <v/>
      </c>
      <c r="BQ7" s="248" cm="1">
        <f t="array" ref="BQ7">_xlfn.XLOOKUP(1,(RiskStatements[Elements at Risk]='View Results Report'!$B$40)*(RiskStatements[Climate Variables/Explainers]='Backroom - report content'!$BD7)*(RiskStatements[Risk Score - Present]&gt;2),RiskStatements[Include],0,0)</f>
        <v>0</v>
      </c>
      <c r="BR7" t="str">
        <f t="shared" si="12"/>
        <v/>
      </c>
      <c r="BS7" t="str">
        <f>IF(BQ7=0,"",IF(SUM(BQ8:BQ$27)=1,", and ",IF(SUM(BQ8:BQ$27)=0,". ",", ")))</f>
        <v/>
      </c>
    </row>
    <row r="8" spans="2:71" ht="102" customHeight="1" x14ac:dyDescent="0.35">
      <c r="B8" s="30" t="str">
        <f>IF(E8="",_xlfn.CONCAT(C8:D8),E8)</f>
        <v>The user has not provided an objective for completing the Rapid Climate Risk Assessment.</v>
      </c>
      <c r="C8" s="31" t="s">
        <v>143</v>
      </c>
      <c r="D8" s="63">
        <f>'Response Form'!F12</f>
        <v>0</v>
      </c>
      <c r="E8" t="str">
        <f>IF(D8=0,F8,"")</f>
        <v>The user has not provided an objective for completing the Rapid Climate Risk Assessment.</v>
      </c>
      <c r="F8" s="31" t="s">
        <v>390</v>
      </c>
      <c r="O8" s="26" t="str">
        <f>'Backroom - question output calc'!B10</f>
        <v>Telecommunications</v>
      </c>
      <c r="P8">
        <f>'Backroom - question output calc'!E10</f>
        <v>0</v>
      </c>
      <c r="Q8" s="18" t="str">
        <f t="shared" si="0"/>
        <v/>
      </c>
      <c r="R8" t="str">
        <f>IF(P8=0,"",IF(SUM(P9:P16)=1,", and ",IF(SUM(P9:P16)=0,". ",", ")))</f>
        <v/>
      </c>
      <c r="S8" s="27"/>
      <c r="V8" s="26" t="str">
        <f>'Backroom - question output calc'!B21</f>
        <v>Outdoor Coastal Activities</v>
      </c>
      <c r="W8">
        <f>'Backroom - question output calc'!E21</f>
        <v>0</v>
      </c>
      <c r="X8" s="18" t="str">
        <f t="shared" si="1"/>
        <v/>
      </c>
      <c r="Y8" t="str">
        <f>IF(W8=0,"",IF(SUM(W9:W13)=1,", and ",IF(SUM(W9:W13)=0,". ",", ")))</f>
        <v/>
      </c>
      <c r="Z8" s="27"/>
      <c r="AB8" s="26" t="str">
        <f>'Backroom - question output calc'!H13</f>
        <v>Drought</v>
      </c>
      <c r="AC8">
        <f>'Backroom - question output calc'!J13</f>
        <v>0</v>
      </c>
      <c r="AD8" s="152" t="str">
        <f t="shared" si="2"/>
        <v/>
      </c>
      <c r="AE8" s="27" t="str">
        <f>IF(AC8=0,"",IF(SUM(AC9:AC11)=1,", and ",IF(SUM(AC9:AC11)=0,". ",", ")))</f>
        <v/>
      </c>
      <c r="AH8" s="26" t="str">
        <f>'Backroom - question output calc'!B33</f>
        <v>Drought</v>
      </c>
      <c r="AI8">
        <f>'Backroom - question output calc'!C33</f>
        <v>0</v>
      </c>
      <c r="AJ8" s="152" t="str">
        <f t="shared" si="3"/>
        <v/>
      </c>
      <c r="AK8" s="27" t="str">
        <f>IF(AI8=0,"",IF(SUM(AI9:AI11)=1,", and ",IF(SUM(AI9:AI11)=0,". ",", ")))</f>
        <v/>
      </c>
      <c r="AM8" s="23" t="str">
        <f>IF('Backroom - question input'!O121&lt;&gt;"",'Backroom - question input'!O121,"")</f>
        <v/>
      </c>
      <c r="AN8">
        <f>IF('Response Form'!P156='Backroom - question input'!$E$2,1,0)</f>
        <v>0</v>
      </c>
      <c r="AO8" s="134" t="str">
        <f>IF(AN8=1,AM8,"")</f>
        <v/>
      </c>
      <c r="AP8" s="19" t="str">
        <f>IF(AN8=0,"",IF(SUM(AN9:$AN$11)=1,", and ",IF(SUM(AN9:$AN$11)=0,". ",", ")))</f>
        <v/>
      </c>
      <c r="AS8" t="str">
        <f>'Backroom - question output calc'!B7</f>
        <v>Inhabited Buildings</v>
      </c>
      <c r="AT8" s="248" cm="1">
        <f t="array" ref="AT8">_xlfn.XLOOKUP(1,(RiskStatements[Climate Variables/Explainers]='View Results Report'!$B$31)*(RiskStatements[Elements at Risk]='Backroom - report content'!$AS8)*(RiskStatements[Risk Score - Present]&gt;2),RiskStatements[Include],0,0)</f>
        <v>0</v>
      </c>
      <c r="AU8" t="str">
        <f t="shared" si="5"/>
        <v/>
      </c>
      <c r="AV8" t="str">
        <f>IF(AT8=0,"",IF(SUM(AT9:AT$27)=1,", and ",IF(SUM(AT9:AT$27)=0,". ",", ")))</f>
        <v/>
      </c>
      <c r="AW8" s="248" cm="1">
        <f t="array" ref="AW8">_xlfn.XLOOKUP(1,(RiskStatements[Climate Variables/Explainers]='View Results Report'!$B$32)*(RiskStatements[Elements at Risk]='Backroom - report content'!$AS8)*(RiskStatements[Risk Score - Present]&gt;2),RiskStatements[Include],0,0)</f>
        <v>0</v>
      </c>
      <c r="AX8" t="str">
        <f t="shared" si="6"/>
        <v/>
      </c>
      <c r="AY8" t="str">
        <f>IF(AW8=0,"",IF(SUM(AW9:AW$27)=1,", and ",IF(SUM(AW9:AW$27)=0,". ",", ")))</f>
        <v/>
      </c>
      <c r="AZ8" s="248" cm="1">
        <f t="array" ref="AZ8">_xlfn.XLOOKUP(1,(RiskStatements[Climate Variables/Explainers]='View Results Report'!$B$33)*(RiskStatements[Elements at Risk]='Backroom - report content'!$AS8)*(RiskStatements[Risk Score - Present]&gt;2),RiskStatements[Include],0,0)</f>
        <v>0</v>
      </c>
      <c r="BA8" t="str">
        <f t="shared" si="7"/>
        <v/>
      </c>
      <c r="BB8" t="str">
        <f>IF(AZ8=0,"",IF(SUM(AZ9:AZ$27)=1,", and ",IF(SUM(AZ9:AZ$27)=0,". ",", ")))</f>
        <v/>
      </c>
      <c r="BD8" t="str">
        <f>'Backroom - question output calc'!B33</f>
        <v>Drought</v>
      </c>
      <c r="BE8" s="248" cm="1">
        <f t="array" ref="BE8">_xlfn.XLOOKUP(1,(RiskStatements[Elements at Risk]='View Results Report'!$B$36)*(RiskStatements[Climate Variables/Explainers]='Backroom - report content'!$BD8)*(RiskStatements[Risk Score - Present]&gt;2),RiskStatements[Include],0,0)</f>
        <v>0</v>
      </c>
      <c r="BF8" t="str">
        <f t="shared" si="8"/>
        <v/>
      </c>
      <c r="BG8" t="str">
        <f>IF(BE8=0,"",IF(SUM(BE9:BE$27)=1,", and ",IF(SUM(BE9:BE$27)=0,". ",", ")))</f>
        <v/>
      </c>
      <c r="BH8" s="248" cm="1">
        <f t="array" ref="BH8">_xlfn.XLOOKUP(1,(RiskStatements[Elements at Risk]='View Results Report'!$B$37)*(RiskStatements[Climate Variables/Explainers]='Backroom - report content'!$BD8)*(RiskStatements[Risk Score - Present]&gt;2),RiskStatements[Include],0,0)</f>
        <v>0</v>
      </c>
      <c r="BI8" t="str">
        <f t="shared" si="9"/>
        <v/>
      </c>
      <c r="BJ8" t="str">
        <f>IF(BH8=0,"",IF(SUM(BH9:BH$27)=1,", and ",IF(SUM(BH9:BH$27)=0,". ",", ")))</f>
        <v/>
      </c>
      <c r="BK8" s="248" cm="1">
        <f t="array" ref="BK8">_xlfn.XLOOKUP(1,(RiskStatements[Elements at Risk]='View Results Report'!$B$38)*(RiskStatements[Climate Variables/Explainers]='Backroom - report content'!$BD8)*(RiskStatements[Risk Score - Present]&gt;2),RiskStatements[Include],0,0)</f>
        <v>0</v>
      </c>
      <c r="BL8" t="str">
        <f t="shared" si="10"/>
        <v/>
      </c>
      <c r="BM8" t="str">
        <f>IF(BK8=0,"",IF(SUM(BK9:BK$27)=1,", and ",IF(SUM(BK9:BK$27)=0,". ",", ")))</f>
        <v/>
      </c>
      <c r="BN8" s="248" cm="1">
        <f t="array" ref="BN8">_xlfn.XLOOKUP(1,(RiskStatements[Elements at Risk]='View Results Report'!$B$39)*(RiskStatements[Climate Variables/Explainers]='Backroom - report content'!$BD8)*(RiskStatements[Risk Score - Present]&gt;2),RiskStatements[Include],0,0)</f>
        <v>0</v>
      </c>
      <c r="BO8" t="str">
        <f t="shared" si="11"/>
        <v/>
      </c>
      <c r="BP8" t="str">
        <f>IF(BN8=0,"",IF(SUM(BN9:BN$27)=1,", and ",IF(SUM(BN9:BN$27)=0,". ",", ")))</f>
        <v/>
      </c>
      <c r="BQ8" s="248" cm="1">
        <f t="array" ref="BQ8">_xlfn.XLOOKUP(1,(RiskStatements[Elements at Risk]='View Results Report'!$B$40)*(RiskStatements[Climate Variables/Explainers]='Backroom - report content'!$BD8)*(RiskStatements[Risk Score - Present]&gt;2),RiskStatements[Include],0,0)</f>
        <v>0</v>
      </c>
      <c r="BR8" t="str">
        <f t="shared" si="12"/>
        <v/>
      </c>
      <c r="BS8" t="str">
        <f>IF(BQ8=0,"",IF(SUM(BQ9:BQ$27)=1,", and ",IF(SUM(BQ9:BQ$27)=0,". ",", ")))</f>
        <v/>
      </c>
    </row>
    <row r="9" spans="2:71" x14ac:dyDescent="0.35">
      <c r="O9" s="26" t="str">
        <f>'Backroom - question output calc'!B11</f>
        <v>Electricity</v>
      </c>
      <c r="P9">
        <f>'Backroom - question output calc'!E11</f>
        <v>0</v>
      </c>
      <c r="Q9" s="18" t="str">
        <f t="shared" si="0"/>
        <v/>
      </c>
      <c r="R9" t="str">
        <f>IF(P9=0,"",IF(SUM(P10:P16)=1,", and ",IF(SUM(P10:P16)=0,". ",", ")))</f>
        <v/>
      </c>
      <c r="S9" s="27"/>
      <c r="V9" s="26" t="str">
        <f>'Backroom - question output calc'!B22</f>
        <v>Land Transportation Activities</v>
      </c>
      <c r="W9">
        <f>'Backroom - question output calc'!E22</f>
        <v>0</v>
      </c>
      <c r="X9" s="18" t="str">
        <f t="shared" si="1"/>
        <v/>
      </c>
      <c r="Y9" t="str">
        <f>IF(W9=0,"",IF(SUM(W10:W13)=1,", and ",IF(SUM(W10:W13)=0,". ",", ")))</f>
        <v/>
      </c>
      <c r="Z9" s="27"/>
      <c r="AB9" s="26" t="str">
        <f>'Backroom - question output calc'!H14</f>
        <v>Marine Heat Waves</v>
      </c>
      <c r="AC9">
        <f>'Backroom - question output calc'!J14</f>
        <v>0</v>
      </c>
      <c r="AD9" s="152" t="str">
        <f t="shared" si="2"/>
        <v/>
      </c>
      <c r="AE9" s="27" t="str">
        <f>IF(AC9=0,"",IF(SUM(AC10:AC11)=1,", and ",IF(SUM(AC10:AC11)=0,". ",", ")))</f>
        <v/>
      </c>
      <c r="AH9" s="26" t="str">
        <f>'Backroom - question output calc'!B34</f>
        <v>Marine Heat Waves</v>
      </c>
      <c r="AI9">
        <f>'Backroom - question output calc'!C34</f>
        <v>0</v>
      </c>
      <c r="AJ9" s="152" t="str">
        <f t="shared" si="3"/>
        <v/>
      </c>
      <c r="AK9" s="27" t="str">
        <f>IF(AI9=0,"",IF(SUM(AI10:AI11)=1,", and ",IF(SUM(AI10:AI11)=0,". ",", ")))</f>
        <v/>
      </c>
      <c r="AM9" s="23" t="str">
        <f>IF('Backroom - question input'!O122&lt;&gt;"",'Backroom - question input'!O122,"")</f>
        <v/>
      </c>
      <c r="AN9">
        <f>IF('Response Form'!P157='Backroom - question input'!$E$2,1,0)</f>
        <v>0</v>
      </c>
      <c r="AO9" s="134" t="str">
        <f t="shared" si="4"/>
        <v/>
      </c>
      <c r="AP9" s="19" t="str">
        <f>IF(AN9=0,"",IF(SUM(AN10:$AN$11)=1,", and ",IF(SUM(AN10:$AN$11)=0,". ",", ")))</f>
        <v/>
      </c>
      <c r="AS9" t="str">
        <f>'Backroom - question output calc'!B8</f>
        <v>Ports / Wharves</v>
      </c>
      <c r="AT9" s="248" cm="1">
        <f t="array" ref="AT9">_xlfn.XLOOKUP(1,(RiskStatements[Climate Variables/Explainers]='View Results Report'!$B$31)*(RiskStatements[Elements at Risk]='Backroom - report content'!$AS9)*(RiskStatements[Risk Score - Present]&gt;2),RiskStatements[Include],0,0)</f>
        <v>0</v>
      </c>
      <c r="AU9" t="str">
        <f t="shared" si="5"/>
        <v/>
      </c>
      <c r="AV9" t="str">
        <f>IF(AT9=0,"",IF(SUM(AT10:AT$27)=1,", and ",IF(SUM(AT10:AT$27)=0,". ",", ")))</f>
        <v/>
      </c>
      <c r="AW9" s="248" cm="1">
        <f t="array" ref="AW9">_xlfn.XLOOKUP(1,(RiskStatements[Climate Variables/Explainers]='View Results Report'!$B$32)*(RiskStatements[Elements at Risk]='Backroom - report content'!$AS9)*(RiskStatements[Risk Score - Present]&gt;2),RiskStatements[Include],0,0)</f>
        <v>0</v>
      </c>
      <c r="AX9" t="str">
        <f t="shared" si="6"/>
        <v/>
      </c>
      <c r="AY9" t="str">
        <f>IF(AW9=0,"",IF(SUM(AW10:AW$27)=1,", and ",IF(SUM(AW10:AW$27)=0,". ",", ")))</f>
        <v/>
      </c>
      <c r="AZ9" s="248" cm="1">
        <f t="array" ref="AZ9">_xlfn.XLOOKUP(1,(RiskStatements[Climate Variables/Explainers]='View Results Report'!$B$33)*(RiskStatements[Elements at Risk]='Backroom - report content'!$AS9)*(RiskStatements[Risk Score - Present]&gt;2),RiskStatements[Include],0,0)</f>
        <v>0</v>
      </c>
      <c r="BA9" t="str">
        <f t="shared" si="7"/>
        <v/>
      </c>
      <c r="BB9" t="str">
        <f>IF(AZ9=0,"",IF(SUM(AZ10:AZ$27)=1,", and ",IF(SUM(AZ10:AZ$27)=0,". ",", ")))</f>
        <v/>
      </c>
      <c r="BD9" t="str">
        <f>'Backroom - question output calc'!B34</f>
        <v>Marine Heat Waves</v>
      </c>
      <c r="BE9" s="248" cm="1">
        <f t="array" ref="BE9">_xlfn.XLOOKUP(1,(RiskStatements[Elements at Risk]='View Results Report'!$B$36)*(RiskStatements[Climate Variables/Explainers]='Backroom - report content'!$BD9)*(RiskStatements[Risk Score - Present]&gt;2),RiskStatements[Include],0,0)</f>
        <v>0</v>
      </c>
      <c r="BF9" t="str">
        <f t="shared" si="8"/>
        <v/>
      </c>
      <c r="BG9" t="str">
        <f>IF(BE9=0,"",IF(SUM(BE10:BE$27)=1,", and ",IF(SUM(BE10:BE$27)=0,". ",", ")))</f>
        <v/>
      </c>
      <c r="BH9" s="248" cm="1">
        <f t="array" ref="BH9">_xlfn.XLOOKUP(1,(RiskStatements[Elements at Risk]='View Results Report'!$B$37)*(RiskStatements[Climate Variables/Explainers]='Backroom - report content'!$BD9)*(RiskStatements[Risk Score - Present]&gt;2),RiskStatements[Include],0,0)</f>
        <v>0</v>
      </c>
      <c r="BI9" t="str">
        <f t="shared" si="9"/>
        <v/>
      </c>
      <c r="BJ9" t="str">
        <f>IF(BH9=0,"",IF(SUM(BH10:BH$27)=1,", and ",IF(SUM(BH10:BH$27)=0,". ",", ")))</f>
        <v/>
      </c>
      <c r="BK9" s="248" cm="1">
        <f t="array" ref="BK9">_xlfn.XLOOKUP(1,(RiskStatements[Elements at Risk]='View Results Report'!$B$38)*(RiskStatements[Climate Variables/Explainers]='Backroom - report content'!$BD9)*(RiskStatements[Risk Score - Present]&gt;2),RiskStatements[Include],0,0)</f>
        <v>0</v>
      </c>
      <c r="BL9" t="str">
        <f t="shared" si="10"/>
        <v/>
      </c>
      <c r="BM9" t="str">
        <f>IF(BK9=0,"",IF(SUM(BK10:BK$27)=1,", and ",IF(SUM(BK10:BK$27)=0,". ",", ")))</f>
        <v/>
      </c>
      <c r="BN9" s="248" cm="1">
        <f t="array" ref="BN9">_xlfn.XLOOKUP(1,(RiskStatements[Elements at Risk]='View Results Report'!$B$39)*(RiskStatements[Climate Variables/Explainers]='Backroom - report content'!$BD9)*(RiskStatements[Risk Score - Present]&gt;2),RiskStatements[Include],0,0)</f>
        <v>0</v>
      </c>
      <c r="BO9" t="str">
        <f t="shared" si="11"/>
        <v/>
      </c>
      <c r="BP9" t="str">
        <f>IF(BN9=0,"",IF(SUM(BN10:BN$27)=1,", and ",IF(SUM(BN10:BN$27)=0,". ",", ")))</f>
        <v/>
      </c>
      <c r="BQ9" s="248" cm="1">
        <f t="array" ref="BQ9">_xlfn.XLOOKUP(1,(RiskStatements[Elements at Risk]='View Results Report'!$B$40)*(RiskStatements[Climate Variables/Explainers]='Backroom - report content'!$BD9)*(RiskStatements[Risk Score - Present]&gt;2),RiskStatements[Include],0,0)</f>
        <v>0</v>
      </c>
      <c r="BR9" t="str">
        <f t="shared" si="12"/>
        <v/>
      </c>
      <c r="BS9" t="str">
        <f>IF(BQ9=0,"",IF(SUM(BQ10:BQ$27)=1,", and ",IF(SUM(BQ10:BQ$27)=0,". ",", ")))</f>
        <v/>
      </c>
    </row>
    <row r="10" spans="2:71" ht="36" x14ac:dyDescent="0.35">
      <c r="B10" s="185" t="s">
        <v>512</v>
      </c>
      <c r="F10" s="31" t="s">
        <v>142</v>
      </c>
      <c r="O10" s="26" t="str">
        <f>'Backroom - question output calc'!B12</f>
        <v>Wastewater Infrastructure</v>
      </c>
      <c r="P10">
        <f>'Backroom - question output calc'!E12</f>
        <v>0</v>
      </c>
      <c r="Q10" s="18" t="str">
        <f t="shared" si="0"/>
        <v/>
      </c>
      <c r="R10" t="str">
        <f>IF(P10=0,"",IF(SUM(P11:P16)=1,", and ",IF(SUM(P11:P16)=0,". ",", ")))</f>
        <v/>
      </c>
      <c r="S10" s="27"/>
      <c r="V10" s="26" t="str">
        <f>'Backroom - question output calc'!B23</f>
        <v>Water Transportation Activities</v>
      </c>
      <c r="W10">
        <f>'Backroom - question output calc'!E23</f>
        <v>0</v>
      </c>
      <c r="X10" s="18" t="str">
        <f t="shared" si="1"/>
        <v/>
      </c>
      <c r="Y10" t="str">
        <f>IF(W10=0,"",IF(SUM(W11:W13)=1,", and ",IF(SUM(W11:W13)=0,". ",", ")))</f>
        <v/>
      </c>
      <c r="Z10" s="27"/>
      <c r="AB10" s="26" t="str">
        <f>'Backroom - question output calc'!H15</f>
        <v>Ocean Acidification</v>
      </c>
      <c r="AC10">
        <f>'Backroom - question output calc'!J15</f>
        <v>0</v>
      </c>
      <c r="AD10" s="152" t="str">
        <f t="shared" si="2"/>
        <v/>
      </c>
      <c r="AE10" s="27" t="str">
        <f>IF(AC10=0,"",IF(SUM(AC11)=1,", and ",IF(SUM(AC11)=0,". ",", ")))</f>
        <v/>
      </c>
      <c r="AH10" s="26" t="str">
        <f>'Backroom - question output calc'!B35</f>
        <v>Ocean Acidification</v>
      </c>
      <c r="AI10">
        <f>'Backroom - question output calc'!C35</f>
        <v>0</v>
      </c>
      <c r="AJ10" s="152" t="str">
        <f t="shared" si="3"/>
        <v/>
      </c>
      <c r="AK10" s="27" t="str">
        <f>IF(AI10=0,"",IF(SUM(AI11)=1,", and ",IF(SUM(AI11)=0,". ",", ")))</f>
        <v/>
      </c>
      <c r="AM10" s="23" t="str">
        <f>IF('Backroom - question input'!O123&lt;&gt;"",'Backroom - question input'!O123,"")</f>
        <v/>
      </c>
      <c r="AN10">
        <f>IF('Response Form'!P158='Backroom - question input'!$E$2,1,0)</f>
        <v>0</v>
      </c>
      <c r="AO10" s="134" t="str">
        <f t="shared" si="4"/>
        <v/>
      </c>
      <c r="AP10" s="19" t="str">
        <f>IF(AN10=0,"",IF(SUM(AN11:$AN$11)=1,", and ",IF(SUM(AN11:$AN$11)=0,". ",", ")))</f>
        <v/>
      </c>
      <c r="AS10" t="str">
        <f>'Backroom - question output calc'!B9</f>
        <v>Airports / Airfields</v>
      </c>
      <c r="AT10" s="248" cm="1">
        <f t="array" ref="AT10">_xlfn.XLOOKUP(1,(RiskStatements[Climate Variables/Explainers]='View Results Report'!$B$31)*(RiskStatements[Elements at Risk]='Backroom - report content'!$AS10)*(RiskStatements[Risk Score - Present]&gt;2),RiskStatements[Include],0,0)</f>
        <v>0</v>
      </c>
      <c r="AU10" t="str">
        <f t="shared" si="5"/>
        <v/>
      </c>
      <c r="AV10" t="str">
        <f>IF(AT10=0,"",IF(SUM(AT11:AT$27)=1,", and ",IF(SUM(AT11:AT$27)=0,". ",", ")))</f>
        <v/>
      </c>
      <c r="AW10" s="248" cm="1">
        <f t="array" ref="AW10">_xlfn.XLOOKUP(1,(RiskStatements[Climate Variables/Explainers]='View Results Report'!$B$32)*(RiskStatements[Elements at Risk]='Backroom - report content'!$AS10)*(RiskStatements[Risk Score - Present]&gt;2),RiskStatements[Include],0,0)</f>
        <v>0</v>
      </c>
      <c r="AX10" t="str">
        <f t="shared" si="6"/>
        <v/>
      </c>
      <c r="AY10" t="str">
        <f>IF(AW10=0,"",IF(SUM(AW11:AW$27)=1,", and ",IF(SUM(AW11:AW$27)=0,". ",", ")))</f>
        <v/>
      </c>
      <c r="AZ10" s="248" cm="1">
        <f t="array" ref="AZ10">_xlfn.XLOOKUP(1,(RiskStatements[Climate Variables/Explainers]='View Results Report'!$B$33)*(RiskStatements[Elements at Risk]='Backroom - report content'!$AS10)*(RiskStatements[Risk Score - Present]&gt;2),RiskStatements[Include],0,0)</f>
        <v>0</v>
      </c>
      <c r="BA10" t="str">
        <f t="shared" si="7"/>
        <v/>
      </c>
      <c r="BB10" t="str">
        <f>IF(AZ10=0,"",IF(SUM(AZ11:AZ$27)=1,", and ",IF(SUM(AZ11:AZ$27)=0,". ",", ")))</f>
        <v/>
      </c>
      <c r="BD10" t="str">
        <f>'Backroom - question output calc'!B35</f>
        <v>Ocean Acidification</v>
      </c>
      <c r="BE10" s="248" cm="1">
        <f t="array" ref="BE10">_xlfn.XLOOKUP(1,(RiskStatements[Elements at Risk]='View Results Report'!$B$36)*(RiskStatements[Climate Variables/Explainers]='Backroom - report content'!$BD10)*(RiskStatements[Risk Score - Present]&gt;2),RiskStatements[Include],0,0)</f>
        <v>0</v>
      </c>
      <c r="BF10" t="str">
        <f t="shared" si="8"/>
        <v/>
      </c>
      <c r="BG10" t="str">
        <f>IF(BE10=0,"",IF(SUM(BE11:BE$27)=1,", and ",IF(SUM(BE11:BE$27)=0,". ",", ")))</f>
        <v/>
      </c>
      <c r="BH10" s="248" cm="1">
        <f t="array" ref="BH10">_xlfn.XLOOKUP(1,(RiskStatements[Elements at Risk]='View Results Report'!$B$37)*(RiskStatements[Climate Variables/Explainers]='Backroom - report content'!$BD10)*(RiskStatements[Risk Score - Present]&gt;2),RiskStatements[Include],0,0)</f>
        <v>0</v>
      </c>
      <c r="BI10" t="str">
        <f t="shared" si="9"/>
        <v/>
      </c>
      <c r="BJ10" t="str">
        <f>IF(BH10=0,"",IF(SUM(BH11:BH$27)=1,", and ",IF(SUM(BH11:BH$27)=0,". ",", ")))</f>
        <v/>
      </c>
      <c r="BK10" s="248" cm="1">
        <f t="array" ref="BK10">_xlfn.XLOOKUP(1,(RiskStatements[Elements at Risk]='View Results Report'!$B$38)*(RiskStatements[Climate Variables/Explainers]='Backroom - report content'!$BD10)*(RiskStatements[Risk Score - Present]&gt;2),RiskStatements[Include],0,0)</f>
        <v>0</v>
      </c>
      <c r="BL10" t="str">
        <f t="shared" si="10"/>
        <v/>
      </c>
      <c r="BM10" t="str">
        <f>IF(BK10=0,"",IF(SUM(BK11:BK$27)=1,", and ",IF(SUM(BK11:BK$27)=0,". ",", ")))</f>
        <v/>
      </c>
      <c r="BN10" s="248" cm="1">
        <f t="array" ref="BN10">_xlfn.XLOOKUP(1,(RiskStatements[Elements at Risk]='View Results Report'!$B$39)*(RiskStatements[Climate Variables/Explainers]='Backroom - report content'!$BD10)*(RiskStatements[Risk Score - Present]&gt;2),RiskStatements[Include],0,0)</f>
        <v>0</v>
      </c>
      <c r="BO10" t="str">
        <f t="shared" si="11"/>
        <v/>
      </c>
      <c r="BP10" t="str">
        <f>IF(BN10=0,"",IF(SUM(BN11:BN$27)=1,", and ",IF(SUM(BN11:BN$27)=0,". ",", ")))</f>
        <v/>
      </c>
      <c r="BQ10" s="248" cm="1">
        <f t="array" ref="BQ10">_xlfn.XLOOKUP(1,(RiskStatements[Elements at Risk]='View Results Report'!$B$40)*(RiskStatements[Climate Variables/Explainers]='Backroom - report content'!$BD10)*(RiskStatements[Risk Score - Present]&gt;2),RiskStatements[Include],0,0)</f>
        <v>0</v>
      </c>
      <c r="BR10" t="str">
        <f t="shared" si="12"/>
        <v/>
      </c>
      <c r="BS10" t="str">
        <f>IF(BQ10=0,"",IF(SUM(BQ11:BQ$27)=1,", and ",IF(SUM(BQ11:BQ$27)=0,". ",", ")))</f>
        <v/>
      </c>
    </row>
    <row r="11" spans="2:71" ht="52.4" customHeight="1" thickBot="1" x14ac:dyDescent="0.4">
      <c r="B11" s="30" t="str">
        <f>IF(E11="",_xlfn.CONCAT(C11:D11),E11)</f>
        <v>The user has not identified any reliance on natural or built features by the industry.</v>
      </c>
      <c r="C11" s="22" t="s">
        <v>144</v>
      </c>
      <c r="D11" s="63" t="str">
        <f>IF(SUM('Backroom - question output calc'!K4,'Backroom - question output calc'!K3)=2,D14,IF('Backroom - question output calc'!K3=1,D12,IF('Backroom - question output calc'!K4=1,D13,"")))</f>
        <v/>
      </c>
      <c r="E11" t="str">
        <f>IF(D11="",F11,"")</f>
        <v>The user has not identified any reliance on natural or built features by the industry.</v>
      </c>
      <c r="F11" s="31" t="s">
        <v>391</v>
      </c>
      <c r="O11" s="26" t="str">
        <f>'Backroom - question output calc'!B13</f>
        <v>Transportation Assets</v>
      </c>
      <c r="P11">
        <f>'Backroom - question output calc'!E13</f>
        <v>0</v>
      </c>
      <c r="Q11" s="18" t="str">
        <f t="shared" si="0"/>
        <v/>
      </c>
      <c r="R11" t="str">
        <f>IF(P11=0,"",IF(SUM(P12:P16)=1,", and ",IF(SUM(P12:P16)=0,". ",", ")))</f>
        <v/>
      </c>
      <c r="S11" s="27"/>
      <c r="V11" s="26" t="str">
        <f>'Backroom - question output calc'!B24</f>
        <v>Office / Shop / Admin Activities</v>
      </c>
      <c r="W11">
        <f>'Backroom - question output calc'!E24</f>
        <v>0</v>
      </c>
      <c r="X11" s="18" t="str">
        <f t="shared" si="1"/>
        <v/>
      </c>
      <c r="Y11" t="str">
        <f>IF(W11=0,"",IF(SUM(W12:W13)=1,", and ",IF(SUM(W12:W13)=0,". ",", ")))</f>
        <v/>
      </c>
      <c r="Z11" s="27"/>
      <c r="AB11" s="28" t="str">
        <f>'Backroom - question output calc'!H16</f>
        <v>Extreme Temperature</v>
      </c>
      <c r="AC11" s="10">
        <f>'Backroom - question output calc'!J16</f>
        <v>0</v>
      </c>
      <c r="AD11" s="227" t="str">
        <f t="shared" si="2"/>
        <v/>
      </c>
      <c r="AE11" s="228" t="str">
        <f>IF(AC11=0,"",". ")</f>
        <v/>
      </c>
      <c r="AH11" s="28" t="str">
        <f>'Backroom - question output calc'!B36</f>
        <v>Extreme Temperature</v>
      </c>
      <c r="AI11" s="10">
        <f>'Backroom - question output calc'!C36</f>
        <v>0</v>
      </c>
      <c r="AJ11" s="183" t="str">
        <f t="shared" si="3"/>
        <v/>
      </c>
      <c r="AK11" s="12" t="str">
        <f>IF(AI11=0,"",". ")</f>
        <v/>
      </c>
      <c r="AM11" s="23" t="str">
        <f>IF('Backroom - question input'!O124&lt;&gt;"",'Backroom - question input'!O124,"")</f>
        <v/>
      </c>
      <c r="AN11">
        <f>IF('Response Form'!P159='Backroom - question input'!$E$2,1,0)</f>
        <v>0</v>
      </c>
      <c r="AO11" s="134" t="str">
        <f t="shared" si="4"/>
        <v/>
      </c>
      <c r="AP11" s="97" t="str">
        <f>IF(AN11=0,"",". ")</f>
        <v/>
      </c>
      <c r="AS11" t="str">
        <f>'Backroom - question output calc'!B10</f>
        <v>Telecommunications</v>
      </c>
      <c r="AT11" s="248" cm="1">
        <f t="array" ref="AT11">_xlfn.XLOOKUP(1,(RiskStatements[Climate Variables/Explainers]='View Results Report'!$B$31)*(RiskStatements[Elements at Risk]='Backroom - report content'!$AS11)*(RiskStatements[Risk Score - Present]&gt;2),RiskStatements[Include],0,0)</f>
        <v>0</v>
      </c>
      <c r="AU11" t="str">
        <f t="shared" si="5"/>
        <v/>
      </c>
      <c r="AV11" t="str">
        <f>IF(AT11=0,"",IF(SUM(AT12:AT$27)=1,", and ",IF(SUM(AT12:AT$27)=0,". ",", ")))</f>
        <v/>
      </c>
      <c r="AW11" s="248" cm="1">
        <f t="array" ref="AW11">_xlfn.XLOOKUP(1,(RiskStatements[Climate Variables/Explainers]='View Results Report'!$B$32)*(RiskStatements[Elements at Risk]='Backroom - report content'!$AS11)*(RiskStatements[Risk Score - Present]&gt;2),RiskStatements[Include],0,0)</f>
        <v>0</v>
      </c>
      <c r="AX11" t="str">
        <f t="shared" si="6"/>
        <v/>
      </c>
      <c r="AY11" t="str">
        <f>IF(AW11=0,"",IF(SUM(AW12:AW$27)=1,", and ",IF(SUM(AW12:AW$27)=0,". ",", ")))</f>
        <v/>
      </c>
      <c r="AZ11" s="248" cm="1">
        <f t="array" ref="AZ11">_xlfn.XLOOKUP(1,(RiskStatements[Climate Variables/Explainers]='View Results Report'!$B$33)*(RiskStatements[Elements at Risk]='Backroom - report content'!$AS11)*(RiskStatements[Risk Score - Present]&gt;2),RiskStatements[Include],0,0)</f>
        <v>0</v>
      </c>
      <c r="BA11" t="str">
        <f t="shared" si="7"/>
        <v/>
      </c>
      <c r="BB11" t="str">
        <f>IF(AZ11=0,"",IF(SUM(AZ12:AZ$27)=1,", and ",IF(SUM(AZ12:AZ$27)=0,". ",", ")))</f>
        <v/>
      </c>
      <c r="BD11" t="str">
        <f>'Backroom - question output calc'!B36</f>
        <v>Extreme Temperature</v>
      </c>
      <c r="BE11" s="248" cm="1">
        <f t="array" ref="BE11">_xlfn.XLOOKUP(1,(RiskStatements[Elements at Risk]='View Results Report'!$B$36)*(RiskStatements[Climate Variables/Explainers]='Backroom - report content'!$BD11)*(RiskStatements[Risk Score - Present]&gt;2),RiskStatements[Include],0,0)</f>
        <v>0</v>
      </c>
      <c r="BF11" t="str">
        <f t="shared" si="8"/>
        <v/>
      </c>
      <c r="BG11" t="str">
        <f>IF(BE11=0,"",IF(SUM(BE12:BE$27)=1,", and ",IF(SUM(BE12:BE$27)=0,". ",", ")))</f>
        <v/>
      </c>
      <c r="BH11" s="248" cm="1">
        <f t="array" ref="BH11">_xlfn.XLOOKUP(1,(RiskStatements[Elements at Risk]='View Results Report'!$B$37)*(RiskStatements[Climate Variables/Explainers]='Backroom - report content'!$BD11)*(RiskStatements[Risk Score - Present]&gt;2),RiskStatements[Include],0,0)</f>
        <v>0</v>
      </c>
      <c r="BI11" t="str">
        <f t="shared" si="9"/>
        <v/>
      </c>
      <c r="BJ11" t="str">
        <f>IF(BH11=0,"",IF(SUM(BH12:BH$27)=1,", and ",IF(SUM(BH12:BH$27)=0,". ",", ")))</f>
        <v/>
      </c>
      <c r="BK11" s="248" cm="1">
        <f t="array" ref="BK11">_xlfn.XLOOKUP(1,(RiskStatements[Elements at Risk]='View Results Report'!$B$38)*(RiskStatements[Climate Variables/Explainers]='Backroom - report content'!$BD11)*(RiskStatements[Risk Score - Present]&gt;2),RiskStatements[Include],0,0)</f>
        <v>0</v>
      </c>
      <c r="BL11" t="str">
        <f t="shared" si="10"/>
        <v/>
      </c>
      <c r="BM11" t="str">
        <f>IF(BK11=0,"",IF(SUM(BK12:BK$27)=1,", and ",IF(SUM(BK12:BK$27)=0,". ",", ")))</f>
        <v/>
      </c>
      <c r="BN11" s="248" cm="1">
        <f t="array" ref="BN11">_xlfn.XLOOKUP(1,(RiskStatements[Elements at Risk]='View Results Report'!$B$39)*(RiskStatements[Climate Variables/Explainers]='Backroom - report content'!$BD11)*(RiskStatements[Risk Score - Present]&gt;2),RiskStatements[Include],0,0)</f>
        <v>0</v>
      </c>
      <c r="BO11" t="str">
        <f t="shared" si="11"/>
        <v/>
      </c>
      <c r="BP11" t="str">
        <f>IF(BN11=0,"",IF(SUM(BN12:BN$27)=1,", and ",IF(SUM(BN12:BN$27)=0,". ",", ")))</f>
        <v/>
      </c>
      <c r="BQ11" s="248" cm="1">
        <f t="array" ref="BQ11">_xlfn.XLOOKUP(1,(RiskStatements[Elements at Risk]='View Results Report'!$B$40)*(RiskStatements[Climate Variables/Explainers]='Backroom - report content'!$BD11)*(RiskStatements[Risk Score - Present]&gt;2),RiskStatements[Include],0,0)</f>
        <v>0</v>
      </c>
      <c r="BR11" t="str">
        <f t="shared" si="12"/>
        <v/>
      </c>
      <c r="BS11" t="str">
        <f>IF(BQ11=0,"",IF(SUM(BQ12:BQ$27)=1,", and ",IF(SUM(BQ12:BQ$27)=0,". ",", ")))</f>
        <v/>
      </c>
    </row>
    <row r="12" spans="2:71" x14ac:dyDescent="0.35">
      <c r="D12" t="s">
        <v>145</v>
      </c>
      <c r="O12" s="26" t="str">
        <f>'Backroom - question output calc'!B14</f>
        <v>Water Supply</v>
      </c>
      <c r="P12">
        <f>'Backroom - question output calc'!E14</f>
        <v>0</v>
      </c>
      <c r="Q12" s="18" t="str">
        <f t="shared" si="0"/>
        <v/>
      </c>
      <c r="R12" t="str">
        <f>IF(P12=0,"",IF(SUM(P13:P16)=1,", and ",IF(SUM(P13:P16)=0,". ",", ")))</f>
        <v/>
      </c>
      <c r="S12" s="27"/>
      <c r="V12" s="26" t="str">
        <f>'Backroom - question output calc'!B25</f>
        <v>Goods Supply Activities</v>
      </c>
      <c r="W12">
        <f>'Backroom - question output calc'!E25</f>
        <v>0</v>
      </c>
      <c r="X12" s="18" t="str">
        <f t="shared" si="1"/>
        <v/>
      </c>
      <c r="Y12" t="str">
        <f>IF(W12=0,"",IF(SUM(W13)=1,", and ",IF(SUM(W13)=0,". ",", ")))</f>
        <v/>
      </c>
      <c r="Z12" s="27"/>
      <c r="AS12" t="str">
        <f>'Backroom - question output calc'!B11</f>
        <v>Electricity</v>
      </c>
      <c r="AT12" s="248" cm="1">
        <f t="array" ref="AT12">_xlfn.XLOOKUP(1,(RiskStatements[Climate Variables/Explainers]='View Results Report'!$B$31)*(RiskStatements[Elements at Risk]='Backroom - report content'!$AS12)*(RiskStatements[Risk Score - Present]&gt;2),RiskStatements[Include],0,0)</f>
        <v>0</v>
      </c>
      <c r="AU12" t="str">
        <f t="shared" si="5"/>
        <v/>
      </c>
      <c r="AV12" t="str">
        <f>IF(AT12=0,"",IF(SUM(AT13:AT$27)=1,", and ",IF(SUM(AT13:AT$27)=0,". ",", ")))</f>
        <v/>
      </c>
      <c r="AW12" s="248" cm="1">
        <f t="array" ref="AW12">_xlfn.XLOOKUP(1,(RiskStatements[Climate Variables/Explainers]='View Results Report'!$B$32)*(RiskStatements[Elements at Risk]='Backroom - report content'!$AS12)*(RiskStatements[Risk Score - Present]&gt;2),RiskStatements[Include],0,0)</f>
        <v>0</v>
      </c>
      <c r="AX12" t="str">
        <f t="shared" si="6"/>
        <v/>
      </c>
      <c r="AY12" t="str">
        <f>IF(AW12=0,"",IF(SUM(AW13:AW$27)=1,", and ",IF(SUM(AW13:AW$27)=0,". ",", ")))</f>
        <v/>
      </c>
      <c r="AZ12" s="248" cm="1">
        <f t="array" ref="AZ12">_xlfn.XLOOKUP(1,(RiskStatements[Climate Variables/Explainers]='View Results Report'!$B$33)*(RiskStatements[Elements at Risk]='Backroom - report content'!$AS12)*(RiskStatements[Risk Score - Present]&gt;2),RiskStatements[Include],0,0)</f>
        <v>0</v>
      </c>
      <c r="BA12" t="str">
        <f t="shared" si="7"/>
        <v/>
      </c>
      <c r="BB12" t="str">
        <f>IF(AZ12=0,"",IF(SUM(AZ13:AZ$27)=1,", and ",IF(SUM(AZ13:AZ$27)=0,". ",", ")))</f>
        <v/>
      </c>
      <c r="BS12" t="str">
        <f>IF(BQ12=0,"",IF(SUM(BQ13:BQ$27)=1,", and ",IF(SUM(BQ13:BQ$27)=0,". ",", ")))</f>
        <v/>
      </c>
    </row>
    <row r="13" spans="2:71" ht="18" thickBot="1" x14ac:dyDescent="0.4">
      <c r="D13" t="s">
        <v>146</v>
      </c>
      <c r="O13" s="26" t="str">
        <f>'Backroom - question output calc'!B15</f>
        <v>Stormwater / Flood Management</v>
      </c>
      <c r="P13">
        <f>'Backroom - question output calc'!E15</f>
        <v>0</v>
      </c>
      <c r="Q13" s="18" t="str">
        <f t="shared" si="0"/>
        <v/>
      </c>
      <c r="R13" t="str">
        <f>IF(P13=0,"",IF(SUM(P14:P16)=1,", and ",IF(SUM(P14:P16)=0,". ",", ")))</f>
        <v/>
      </c>
      <c r="S13" s="27"/>
      <c r="V13" s="28" t="str">
        <f>'Backroom - question output calc'!B26</f>
        <v>Construction Activities</v>
      </c>
      <c r="W13" s="10">
        <f>'Backroom - question output calc'!E26</f>
        <v>0</v>
      </c>
      <c r="X13" s="29" t="str">
        <f t="shared" si="1"/>
        <v/>
      </c>
      <c r="Y13" s="10" t="str">
        <f>IF(W13=0,"",". ")</f>
        <v/>
      </c>
      <c r="Z13" s="12"/>
      <c r="AS13" t="str">
        <f>'Backroom - question output calc'!B12</f>
        <v>Wastewater Infrastructure</v>
      </c>
      <c r="AT13" s="248" cm="1">
        <f t="array" ref="AT13">_xlfn.XLOOKUP(1,(RiskStatements[Climate Variables/Explainers]='View Results Report'!$B$31)*(RiskStatements[Elements at Risk]='Backroom - report content'!$AS13)*(RiskStatements[Risk Score - Present]&gt;2),RiskStatements[Include],0,0)</f>
        <v>0</v>
      </c>
      <c r="AU13" t="str">
        <f t="shared" si="5"/>
        <v/>
      </c>
      <c r="AV13" t="str">
        <f>IF(AT13=0,"",IF(SUM(AT14:AT$27)=1,", and ",IF(SUM(AT14:AT$27)=0,". ",", ")))</f>
        <v/>
      </c>
      <c r="AW13" s="248" cm="1">
        <f t="array" ref="AW13">_xlfn.XLOOKUP(1,(RiskStatements[Climate Variables/Explainers]='View Results Report'!$B$32)*(RiskStatements[Elements at Risk]='Backroom - report content'!$AS13)*(RiskStatements[Risk Score - Present]&gt;2),RiskStatements[Include],0,0)</f>
        <v>0</v>
      </c>
      <c r="AX13" t="str">
        <f t="shared" si="6"/>
        <v/>
      </c>
      <c r="AY13" t="str">
        <f>IF(AW13=0,"",IF(SUM(AW14:AW$27)=1,", and ",IF(SUM(AW14:AW$27)=0,". ",", ")))</f>
        <v/>
      </c>
      <c r="AZ13" s="248" cm="1">
        <f t="array" ref="AZ13">_xlfn.XLOOKUP(1,(RiskStatements[Climate Variables/Explainers]='View Results Report'!$B$33)*(RiskStatements[Elements at Risk]='Backroom - report content'!$AS13)*(RiskStatements[Risk Score - Present]&gt;2),RiskStatements[Include],0,0)</f>
        <v>0</v>
      </c>
      <c r="BA13" t="str">
        <f t="shared" si="7"/>
        <v/>
      </c>
      <c r="BB13" t="str">
        <f>IF(AZ13=0,"",IF(SUM(AZ14:AZ$27)=1,", and ",IF(SUM(AZ14:AZ$27)=0,". ",", ")))</f>
        <v/>
      </c>
      <c r="BS13" t="str">
        <f>IF(BQ13=0,"",IF(SUM(BQ14:BQ$27)=1,", and ",IF(SUM(BQ14:BQ$27)=0,". ",", ")))</f>
        <v/>
      </c>
    </row>
    <row r="14" spans="2:71" ht="24" customHeight="1" x14ac:dyDescent="0.35">
      <c r="D14" t="s">
        <v>147</v>
      </c>
      <c r="G14" s="49" t="s">
        <v>294</v>
      </c>
      <c r="O14" s="26" t="str">
        <f>'Backroom - question output calc'!B16</f>
        <v>Uninhabited Buildings</v>
      </c>
      <c r="P14">
        <f>'Backroom - question output calc'!E16</f>
        <v>0</v>
      </c>
      <c r="Q14" s="18" t="str">
        <f t="shared" si="0"/>
        <v/>
      </c>
      <c r="R14" t="str">
        <f>IF(P14=0,"",IF(SUM(P15:P16)=1,", and ",IF(SUM(P15:P16)=0,". ",", ")))</f>
        <v/>
      </c>
      <c r="S14" s="27"/>
      <c r="AS14" t="str">
        <f>'Backroom - question output calc'!B13</f>
        <v>Transportation Assets</v>
      </c>
      <c r="AT14" s="248" cm="1">
        <f t="array" ref="AT14">_xlfn.XLOOKUP(1,(RiskStatements[Climate Variables/Explainers]='View Results Report'!$B$31)*(RiskStatements[Elements at Risk]='Backroom - report content'!$AS14)*(RiskStatements[Risk Score - Present]&gt;2),RiskStatements[Include],0,0)</f>
        <v>0</v>
      </c>
      <c r="AU14" t="str">
        <f t="shared" si="5"/>
        <v/>
      </c>
      <c r="AV14" t="str">
        <f>IF(AT14=0,"",IF(SUM(AT15:AT$27)=1,", and ",IF(SUM(AT15:AT$27)=0,". ",", ")))</f>
        <v/>
      </c>
      <c r="AW14" s="248" cm="1">
        <f t="array" ref="AW14">_xlfn.XLOOKUP(1,(RiskStatements[Climate Variables/Explainers]='View Results Report'!$B$32)*(RiskStatements[Elements at Risk]='Backroom - report content'!$AS14)*(RiskStatements[Risk Score - Present]&gt;2),RiskStatements[Include],0,0)</f>
        <v>0</v>
      </c>
      <c r="AX14" t="str">
        <f t="shared" si="6"/>
        <v/>
      </c>
      <c r="AY14" t="str">
        <f>IF(AW14=0,"",IF(SUM(AW15:AW$27)=1,", and ",IF(SUM(AW15:AW$27)=0,". ",", ")))</f>
        <v/>
      </c>
      <c r="AZ14" s="248" cm="1">
        <f t="array" ref="AZ14">_xlfn.XLOOKUP(1,(RiskStatements[Climate Variables/Explainers]='View Results Report'!$B$33)*(RiskStatements[Elements at Risk]='Backroom - report content'!$AS14)*(RiskStatements[Risk Score - Present]&gt;2),RiskStatements[Include],0,0)</f>
        <v>0</v>
      </c>
      <c r="BA14" t="str">
        <f t="shared" si="7"/>
        <v/>
      </c>
      <c r="BB14" t="str">
        <f>IF(AZ14=0,"",IF(SUM(AZ15:AZ$27)=1,", and ",IF(SUM(AZ15:AZ$27)=0,". ",", ")))</f>
        <v/>
      </c>
      <c r="BS14" t="str">
        <f>IF(BQ14=0,"",IF(SUM(BQ15:BQ$27)=1,", and ",IF(SUM(BQ15:BQ$27)=0,". ",", ")))</f>
        <v/>
      </c>
    </row>
    <row r="15" spans="2:71" x14ac:dyDescent="0.35">
      <c r="B15" s="30" t="str">
        <f>_xlfn.CONCAT(C15:F15)</f>
        <v/>
      </c>
      <c r="C15" s="22" t="str">
        <f>IF(D15="","",C16)</f>
        <v/>
      </c>
      <c r="D15" s="63" t="str">
        <f>K4</f>
        <v/>
      </c>
      <c r="E15" t="str">
        <f>IF(F15="","",IF(D15="",E16,E17))</f>
        <v/>
      </c>
      <c r="F15" s="31" t="str">
        <f>R4</f>
        <v/>
      </c>
      <c r="G15" s="18" t="str">
        <f>IF('Response Form'!G33&lt;&gt;"",G14,"")</f>
        <v/>
      </c>
      <c r="O15" s="26" t="str">
        <f>'Backroom - question output calc'!B17</f>
        <v>Evacuation Structures</v>
      </c>
      <c r="P15">
        <f>'Backroom - question output calc'!E17</f>
        <v>0</v>
      </c>
      <c r="Q15" s="18" t="str">
        <f t="shared" si="0"/>
        <v/>
      </c>
      <c r="R15" t="str">
        <f>IF(P15=0,"",IF(P16=1,", and ",IF(P16=0,". ",", ")))</f>
        <v/>
      </c>
      <c r="S15" s="27"/>
      <c r="AS15" t="str">
        <f>'Backroom - question output calc'!B14</f>
        <v>Water Supply</v>
      </c>
      <c r="AT15" s="248" cm="1">
        <f t="array" ref="AT15">_xlfn.XLOOKUP(1,(RiskStatements[Climate Variables/Explainers]='View Results Report'!$B$31)*(RiskStatements[Elements at Risk]='Backroom - report content'!$AS15)*(RiskStatements[Risk Score - Present]&gt;2),RiskStatements[Include],0,0)</f>
        <v>0</v>
      </c>
      <c r="AU15" t="str">
        <f t="shared" si="5"/>
        <v/>
      </c>
      <c r="AV15" t="str">
        <f>IF(AT15=0,"",IF(SUM(AT16:AT$27)=1,", and ",IF(SUM(AT16:AT$27)=0,". ",", ")))</f>
        <v/>
      </c>
      <c r="AW15" s="248" cm="1">
        <f t="array" ref="AW15">_xlfn.XLOOKUP(1,(RiskStatements[Climate Variables/Explainers]='View Results Report'!$B$32)*(RiskStatements[Elements at Risk]='Backroom - report content'!$AS15)*(RiskStatements[Risk Score - Present]&gt;2),RiskStatements[Include],0,0)</f>
        <v>0</v>
      </c>
      <c r="AX15" t="str">
        <f t="shared" si="6"/>
        <v/>
      </c>
      <c r="AY15" t="str">
        <f>IF(AW15=0,"",IF(SUM(AW16:AW$27)=1,", and ",IF(SUM(AW16:AW$27)=0,". ",", ")))</f>
        <v/>
      </c>
      <c r="AZ15" s="248" cm="1">
        <f t="array" ref="AZ15">_xlfn.XLOOKUP(1,(RiskStatements[Climate Variables/Explainers]='View Results Report'!$B$33)*(RiskStatements[Elements at Risk]='Backroom - report content'!$AS15)*(RiskStatements[Risk Score - Present]&gt;2),RiskStatements[Include],0,0)</f>
        <v>0</v>
      </c>
      <c r="BA15" t="str">
        <f t="shared" si="7"/>
        <v/>
      </c>
    </row>
    <row r="16" spans="2:71" ht="18" thickBot="1" x14ac:dyDescent="0.4">
      <c r="C16" s="22" t="s">
        <v>148</v>
      </c>
      <c r="E16" t="s">
        <v>149</v>
      </c>
      <c r="O16" s="28" t="str">
        <f>'Backroom - question output calc'!K21</f>
        <v>Other / User defined:</v>
      </c>
      <c r="P16" s="10">
        <f>'Backroom - question output calc'!I21</f>
        <v>0</v>
      </c>
      <c r="Q16" s="29" t="str">
        <f>IF(P16=1,O16,"")</f>
        <v/>
      </c>
      <c r="R16" s="10" t="str">
        <f>IF(P16=0,"",". ")</f>
        <v/>
      </c>
      <c r="S16" s="12"/>
      <c r="AS16" t="str">
        <f>'Backroom - question output calc'!B15</f>
        <v>Stormwater / Flood Management</v>
      </c>
      <c r="AT16" s="248" cm="1">
        <f t="array" ref="AT16">_xlfn.XLOOKUP(1,(RiskStatements[Climate Variables/Explainers]='View Results Report'!$B$31)*(RiskStatements[Elements at Risk]='Backroom - report content'!$AS16)*(RiskStatements[Risk Score - Present]&gt;2),RiskStatements[Include],0,0)</f>
        <v>0</v>
      </c>
      <c r="AU16" t="str">
        <f t="shared" si="5"/>
        <v/>
      </c>
      <c r="AV16" t="str">
        <f>IF(AT16=0,"",IF(SUM(AT17:AT$27)=1,", and ",IF(SUM(AT17:AT$27)=0,". ",", ")))</f>
        <v/>
      </c>
      <c r="AW16" s="248" cm="1">
        <f t="array" ref="AW16">_xlfn.XLOOKUP(1,(RiskStatements[Climate Variables/Explainers]='View Results Report'!$B$32)*(RiskStatements[Elements at Risk]='Backroom - report content'!$AS16)*(RiskStatements[Risk Score - Present]&gt;2),RiskStatements[Include],0,0)</f>
        <v>0</v>
      </c>
      <c r="AX16" t="str">
        <f t="shared" si="6"/>
        <v/>
      </c>
      <c r="AY16" t="str">
        <f>IF(AW16=0,"",IF(SUM(AW17:AW$27)=1,", and ",IF(SUM(AW17:AW$27)=0,". ",", ")))</f>
        <v/>
      </c>
      <c r="AZ16" s="248" cm="1">
        <f t="array" ref="AZ16">_xlfn.XLOOKUP(1,(RiskStatements[Climate Variables/Explainers]='View Results Report'!$B$33)*(RiskStatements[Elements at Risk]='Backroom - report content'!$AS16)*(RiskStatements[Risk Score - Present]&gt;2),RiskStatements[Include],0,0)</f>
        <v>0</v>
      </c>
      <c r="BA16" t="str">
        <f t="shared" si="7"/>
        <v/>
      </c>
      <c r="BB16" t="str">
        <f>IF(AZ16=0,"",IF(SUM(AZ17:AZ$27)=1,", and ",IF(SUM(AZ17:AZ$27)=0,". ",", ")))</f>
        <v/>
      </c>
      <c r="BS16" t="str">
        <f>IF(BQ16=0,"",IF(SUM(BQ17:BQ$27)=1,", and ",IF(SUM(BQ17:BQ$27)=0,". ",", ")))</f>
        <v/>
      </c>
    </row>
    <row r="17" spans="2:71" x14ac:dyDescent="0.35">
      <c r="E17" t="s">
        <v>150</v>
      </c>
      <c r="F17" s="31" t="s">
        <v>142</v>
      </c>
      <c r="AS17" t="str">
        <f>'Backroom - question output calc'!B16</f>
        <v>Uninhabited Buildings</v>
      </c>
      <c r="AT17" s="248" cm="1">
        <f t="array" ref="AT17">_xlfn.XLOOKUP(1,(RiskStatements[Climate Variables/Explainers]='View Results Report'!$B$31)*(RiskStatements[Elements at Risk]='Backroom - report content'!$AS17)*(RiskStatements[Risk Score - Present]&gt;2),RiskStatements[Include],0,0)</f>
        <v>0</v>
      </c>
      <c r="AU17" t="str">
        <f t="shared" si="5"/>
        <v/>
      </c>
      <c r="AV17" t="str">
        <f>IF(AT17=0,"",IF(SUM(AT18:AT$27)=1,", and ",IF(SUM(AT18:AT$27)=0,". ",", ")))</f>
        <v/>
      </c>
      <c r="AW17" s="248" cm="1">
        <f t="array" ref="AW17">_xlfn.XLOOKUP(1,(RiskStatements[Climate Variables/Explainers]='View Results Report'!$B$32)*(RiskStatements[Elements at Risk]='Backroom - report content'!$AS17)*(RiskStatements[Risk Score - Present]&gt;2),RiskStatements[Include],0,0)</f>
        <v>0</v>
      </c>
      <c r="AX17" t="str">
        <f t="shared" si="6"/>
        <v/>
      </c>
      <c r="AY17" t="str">
        <f>IF(AW17=0,"",IF(SUM(AW18:AW$27)=1,", and ",IF(SUM(AW18:AW$27)=0,". ",", ")))</f>
        <v/>
      </c>
      <c r="AZ17" s="248" cm="1">
        <f t="array" ref="AZ17">_xlfn.XLOOKUP(1,(RiskStatements[Climate Variables/Explainers]='View Results Report'!$B$33)*(RiskStatements[Elements at Risk]='Backroom - report content'!$AS17)*(RiskStatements[Risk Score - Present]&gt;2),RiskStatements[Include],0,0)</f>
        <v>0</v>
      </c>
      <c r="BA17" t="str">
        <f t="shared" si="7"/>
        <v/>
      </c>
      <c r="BB17" t="str">
        <f>IF(AZ17=0,"",IF(SUM(AZ18:AZ$27)=1,", and ",IF(SUM(AZ18:AZ$27)=0,". ",", ")))</f>
        <v/>
      </c>
      <c r="BS17" t="str">
        <f>IF(BQ17=0,"",IF(SUM(BQ18:BQ$27)=1,", and ",IF(SUM(BQ18:BQ$27)=0,". ",", ")))</f>
        <v/>
      </c>
    </row>
    <row r="18" spans="2:71" ht="52.5" x14ac:dyDescent="0.35">
      <c r="B18" s="114" t="str">
        <f>IF(E18="",_xlfn.CONCAT(C18:D18),E18)</f>
        <v>The user has not identified the involvement of any operations or activities in the industry.</v>
      </c>
      <c r="C18" s="31" t="s">
        <v>291</v>
      </c>
      <c r="D18" s="63" t="str">
        <f>Y4</f>
        <v/>
      </c>
      <c r="E18" t="str">
        <f>IF(D18="",F18,"")</f>
        <v>The user has not identified the involvement of any operations or activities in the industry.</v>
      </c>
      <c r="F18" s="31" t="s">
        <v>151</v>
      </c>
      <c r="AS18" t="str">
        <f>'Backroom - question output calc'!B17</f>
        <v>Evacuation Structures</v>
      </c>
      <c r="AT18" s="248" cm="1">
        <f t="array" ref="AT18">_xlfn.XLOOKUP(1,(RiskStatements[Climate Variables/Explainers]='View Results Report'!$B$31)*(RiskStatements[Elements at Risk]='Backroom - report content'!$AS18)*(RiskStatements[Risk Score - Present]&gt;2),RiskStatements[Include],0,0)</f>
        <v>0</v>
      </c>
      <c r="AU18" t="str">
        <f t="shared" si="5"/>
        <v/>
      </c>
      <c r="AV18" t="str">
        <f>IF(AT18=0,"",IF(SUM(AT19:AT$27)=1,", and ",IF(SUM(AT19:AT$27)=0,". ",", ")))</f>
        <v/>
      </c>
      <c r="AW18" s="248" cm="1">
        <f t="array" ref="AW18">_xlfn.XLOOKUP(1,(RiskStatements[Climate Variables/Explainers]='View Results Report'!$B$32)*(RiskStatements[Elements at Risk]='Backroom - report content'!$AS18)*(RiskStatements[Risk Score - Present]&gt;2),RiskStatements[Include],0,0)</f>
        <v>0</v>
      </c>
      <c r="AX18" t="str">
        <f t="shared" si="6"/>
        <v/>
      </c>
      <c r="AY18" t="str">
        <f>IF(AW18=0,"",IF(SUM(AW19:AW$27)=1,", and ",IF(SUM(AW19:AW$27)=0,". ",", ")))</f>
        <v/>
      </c>
      <c r="AZ18" s="248" cm="1">
        <f t="array" ref="AZ18">_xlfn.XLOOKUP(1,(RiskStatements[Climate Variables/Explainers]='View Results Report'!$B$33)*(RiskStatements[Elements at Risk]='Backroom - report content'!$AS18)*(RiskStatements[Risk Score - Present]&gt;2),RiskStatements[Include],0,0)</f>
        <v>0</v>
      </c>
      <c r="BA18" t="str">
        <f t="shared" si="7"/>
        <v/>
      </c>
      <c r="BB18" t="str">
        <f>IF(AZ18=0,"",IF(SUM(AZ19:AZ$27)=1,", and ",IF(SUM(AZ19:AZ$27)=0,". ",", ")))</f>
        <v/>
      </c>
      <c r="BS18" t="str">
        <f>IF(BQ18=0,"",IF(SUM(BQ19:BQ$27)=1,", and ",IF(SUM(BQ19:BQ$27)=0,". ",", ")))</f>
        <v/>
      </c>
    </row>
    <row r="19" spans="2:71" ht="87.5" x14ac:dyDescent="0.35">
      <c r="B19" s="30" t="s">
        <v>284</v>
      </c>
      <c r="AS19" t="str">
        <f>'Backroom - question output calc'!B18</f>
        <v>Outdoor Land Activities</v>
      </c>
      <c r="AT19" s="248" cm="1">
        <f t="array" ref="AT19">_xlfn.XLOOKUP(1,(RiskStatements[Climate Variables/Explainers]='View Results Report'!$B$31)*(RiskStatements[Elements at Risk]='Backroom - report content'!$AS19)*(RiskStatements[Risk Score - Present]&gt;2),RiskStatements[Include],0,0)</f>
        <v>0</v>
      </c>
      <c r="AU19" t="str">
        <f t="shared" si="5"/>
        <v/>
      </c>
      <c r="AV19" t="str">
        <f>IF(AT19=0,"",IF(SUM(AT20:AT$27)=1,", and ",IF(SUM(AT20:AT$27)=0,". ",", ")))</f>
        <v/>
      </c>
      <c r="AW19" s="248" cm="1">
        <f t="array" ref="AW19">_xlfn.XLOOKUP(1,(RiskStatements[Climate Variables/Explainers]='View Results Report'!$B$32)*(RiskStatements[Elements at Risk]='Backroom - report content'!$AS19)*(RiskStatements[Risk Score - Present]&gt;2),RiskStatements[Include],0,0)</f>
        <v>0</v>
      </c>
      <c r="AX19" t="str">
        <f t="shared" si="6"/>
        <v/>
      </c>
      <c r="AY19" t="str">
        <f>IF(AW19=0,"",IF(SUM(AW20:AW$27)=1,", and ",IF(SUM(AW20:AW$27)=0,". ",", ")))</f>
        <v/>
      </c>
      <c r="AZ19" s="248" cm="1">
        <f t="array" ref="AZ19">_xlfn.XLOOKUP(1,(RiskStatements[Climate Variables/Explainers]='View Results Report'!$B$33)*(RiskStatements[Elements at Risk]='Backroom - report content'!$AS19)*(RiskStatements[Risk Score - Present]&gt;2),RiskStatements[Include],0,0)</f>
        <v>0</v>
      </c>
      <c r="BA19" t="str">
        <f t="shared" si="7"/>
        <v/>
      </c>
      <c r="BB19" t="str">
        <f>IF(AZ19=0,"",IF(SUM(AZ20:AZ$27)=1,", and ",IF(SUM(AZ20:AZ$27)=0,". ",", ")))</f>
        <v/>
      </c>
      <c r="BS19" t="str">
        <f>IF(BQ19=0,"",IF(SUM(BQ20:BQ$27)=1,", and ",IF(SUM(BQ20:BQ$27)=0,". ",", ")))</f>
        <v/>
      </c>
    </row>
    <row r="20" spans="2:71" ht="18" x14ac:dyDescent="0.35">
      <c r="B20" s="229" t="s">
        <v>481</v>
      </c>
      <c r="AS20" t="str">
        <f>'Backroom - question output calc'!B19</f>
        <v>Outdoor Marine Activities</v>
      </c>
      <c r="AT20" s="248" cm="1">
        <f t="array" ref="AT20">_xlfn.XLOOKUP(1,(RiskStatements[Climate Variables/Explainers]='View Results Report'!$B$31)*(RiskStatements[Elements at Risk]='Backroom - report content'!$AS20)*(RiskStatements[Risk Score - Present]&gt;2),RiskStatements[Include],0,0)</f>
        <v>0</v>
      </c>
      <c r="AU20" t="str">
        <f t="shared" si="5"/>
        <v/>
      </c>
      <c r="AV20" t="str">
        <f>IF(AT20=0,"",IF(SUM(AT21:AT$27)=1,", and ",IF(SUM(AT21:AT$27)=0,". ",", ")))</f>
        <v/>
      </c>
      <c r="AW20" s="248" cm="1">
        <f t="array" ref="AW20">_xlfn.XLOOKUP(1,(RiskStatements[Climate Variables/Explainers]='View Results Report'!$B$32)*(RiskStatements[Elements at Risk]='Backroom - report content'!$AS20)*(RiskStatements[Risk Score - Present]&gt;2),RiskStatements[Include],0,0)</f>
        <v>0</v>
      </c>
      <c r="AX20" t="str">
        <f t="shared" si="6"/>
        <v/>
      </c>
      <c r="AY20" t="str">
        <f>IF(AW20=0,"",IF(SUM(AW21:AW$27)=1,", and ",IF(SUM(AW21:AW$27)=0,". ",", ")))</f>
        <v/>
      </c>
      <c r="AZ20" s="248" cm="1">
        <f t="array" ref="AZ20">_xlfn.XLOOKUP(1,(RiskStatements[Climate Variables/Explainers]='View Results Report'!$B$33)*(RiskStatements[Elements at Risk]='Backroom - report content'!$AS20)*(RiskStatements[Risk Score - Present]&gt;2),RiskStatements[Include],0,0)</f>
        <v>0</v>
      </c>
      <c r="BA20" t="str">
        <f t="shared" si="7"/>
        <v/>
      </c>
      <c r="BB20" t="str">
        <f>IF(AZ20=0,"",IF(SUM(AZ21:AZ$27)=1,", and ",IF(SUM(AZ21:AZ$27)=0,". ",", ")))</f>
        <v/>
      </c>
      <c r="BS20" t="str">
        <f>IF(BQ20=0,"",IF(SUM(BQ21:BQ$27)=1,", and ",IF(SUM(BQ21:BQ$27)=0,". ",", ")))</f>
        <v/>
      </c>
    </row>
    <row r="21" spans="2:71" ht="52.5" x14ac:dyDescent="0.35">
      <c r="B21" s="114" t="str">
        <f>IF(D21=0,C22,IF(F21=0,_xlfn.CONCAT(C21:D21),_xlfn.CONCAT(C21:F21)))</f>
        <v xml:space="preserve">The following climate hazard events are events that are relevant to the industry and have been observed in the past: </v>
      </c>
      <c r="C21" s="22" t="s">
        <v>392</v>
      </c>
      <c r="D21" s="63" t="str">
        <f>AE4</f>
        <v/>
      </c>
      <c r="E21" t="s">
        <v>463</v>
      </c>
      <c r="F21" s="31">
        <f>'Response Form'!D57</f>
        <v>0</v>
      </c>
      <c r="AS21" t="str">
        <f>'Backroom - question output calc'!B20</f>
        <v>Outdoor Freshwater Activities</v>
      </c>
      <c r="AT21" s="248" cm="1">
        <f t="array" ref="AT21">_xlfn.XLOOKUP(1,(RiskStatements[Climate Variables/Explainers]='View Results Report'!$B$31)*(RiskStatements[Elements at Risk]='Backroom - report content'!$AS21)*(RiskStatements[Risk Score - Present]&gt;2),RiskStatements[Include],0,0)</f>
        <v>0</v>
      </c>
      <c r="AU21" t="str">
        <f t="shared" si="5"/>
        <v/>
      </c>
      <c r="AV21" t="str">
        <f>IF(AT21=0,"",IF(SUM(AT22:AT$27)=1,", and ",IF(SUM(AT22:AT$27)=0,". ",", ")))</f>
        <v/>
      </c>
      <c r="AW21" s="248" cm="1">
        <f t="array" ref="AW21">_xlfn.XLOOKUP(1,(RiskStatements[Climate Variables/Explainers]='View Results Report'!$B$32)*(RiskStatements[Elements at Risk]='Backroom - report content'!$AS21)*(RiskStatements[Risk Score - Present]&gt;2),RiskStatements[Include],0,0)</f>
        <v>0</v>
      </c>
      <c r="AX21" t="str">
        <f t="shared" si="6"/>
        <v/>
      </c>
      <c r="AY21" t="str">
        <f>IF(AW21=0,"",IF(SUM(AW22:AW$27)=1,", and ",IF(SUM(AW22:AW$27)=0,". ",", ")))</f>
        <v/>
      </c>
      <c r="AZ21" s="248" cm="1">
        <f t="array" ref="AZ21">_xlfn.XLOOKUP(1,(RiskStatements[Climate Variables/Explainers]='View Results Report'!$B$33)*(RiskStatements[Elements at Risk]='Backroom - report content'!$AS21)*(RiskStatements[Risk Score - Present]&gt;2),RiskStatements[Include],0,0)</f>
        <v>0</v>
      </c>
      <c r="BA21" t="str">
        <f t="shared" si="7"/>
        <v/>
      </c>
      <c r="BB21" t="str">
        <f>IF(AZ21=0,"",IF(SUM(AZ22:AZ$27)=1,", and ",IF(SUM(AZ22:AZ$27)=0,". ",", ")))</f>
        <v/>
      </c>
      <c r="BS21" t="str">
        <f>IF(BQ21=0,"",IF(SUM(BQ22:BQ$27)=1,", and ",IF(SUM(BQ22:BQ$27)=0,". ",", ")))</f>
        <v/>
      </c>
    </row>
    <row r="22" spans="2:71" x14ac:dyDescent="0.35">
      <c r="B22" s="30" t="str">
        <f>IF(SUM(F23:F27)&gt;0,C23,"")</f>
        <v/>
      </c>
      <c r="C22" s="22" t="s">
        <v>393</v>
      </c>
      <c r="F22" s="31" t="s">
        <v>286</v>
      </c>
      <c r="G22" t="s">
        <v>287</v>
      </c>
      <c r="H22" t="s">
        <v>288</v>
      </c>
      <c r="AS22" t="str">
        <f>'Backroom - question output calc'!B21</f>
        <v>Outdoor Coastal Activities</v>
      </c>
      <c r="AT22" s="248" cm="1">
        <f t="array" ref="AT22">_xlfn.XLOOKUP(1,(RiskStatements[Climate Variables/Explainers]='View Results Report'!$B$31)*(RiskStatements[Elements at Risk]='Backroom - report content'!$AS22)*(RiskStatements[Risk Score - Present]&gt;2),RiskStatements[Include],0,0)</f>
        <v>0</v>
      </c>
      <c r="AU22" t="str">
        <f t="shared" si="5"/>
        <v/>
      </c>
      <c r="AV22" t="str">
        <f>IF(AT22=0,"",IF(SUM(AT23:AT$27)=1,", and ",IF(SUM(AT23:AT$27)=0,". ",", ")))</f>
        <v/>
      </c>
      <c r="AW22" s="248" cm="1">
        <f t="array" ref="AW22">_xlfn.XLOOKUP(1,(RiskStatements[Climate Variables/Explainers]='View Results Report'!$B$32)*(RiskStatements[Elements at Risk]='Backroom - report content'!$AS22)*(RiskStatements[Risk Score - Present]&gt;2),RiskStatements[Include],0,0)</f>
        <v>0</v>
      </c>
      <c r="AX22" t="str">
        <f t="shared" si="6"/>
        <v/>
      </c>
      <c r="AY22" t="str">
        <f>IF(AW22=0,"",IF(SUM(AW23:AW$27)=1,", and ",IF(SUM(AW23:AW$27)=0,". ",", ")))</f>
        <v/>
      </c>
      <c r="AZ22" s="248" cm="1">
        <f t="array" ref="AZ22">_xlfn.XLOOKUP(1,(RiskStatements[Climate Variables/Explainers]='View Results Report'!$B$33)*(RiskStatements[Elements at Risk]='Backroom - report content'!$AS22)*(RiskStatements[Risk Score - Present]&gt;2),RiskStatements[Include],0,0)</f>
        <v>0</v>
      </c>
      <c r="BA22" t="str">
        <f t="shared" si="7"/>
        <v/>
      </c>
      <c r="BB22" t="str">
        <f>IF(AZ22=0,"",IF(SUM(AZ23:AZ$27)=1,", and ",IF(SUM(AZ23:AZ$27)=0,". ",", ")))</f>
        <v/>
      </c>
      <c r="BS22" t="str">
        <f>IF(BQ22=0,"",IF(SUM(BQ23:BQ$27)=1,", and ",IF(SUM(BQ23:BQ$27)=0,". ",", ")))</f>
        <v/>
      </c>
    </row>
    <row r="23" spans="2:71" x14ac:dyDescent="0.35">
      <c r="B23" s="115" t="str" cm="1">
        <f t="array" ref="B23">_xlfn._xlws.FILTER(E23:E27,F23:F27=1,"")</f>
        <v/>
      </c>
      <c r="C23" s="22" t="str">
        <f>IF(D21=0,_xlfn.CONCAT(G22,H22),_xlfn.CONCAT(F22,H22))</f>
        <v>In addition the industry has elements with the following qualities that suggest possible exposure:</v>
      </c>
      <c r="E23" t="s">
        <v>394</v>
      </c>
      <c r="F23" s="31">
        <f>IF('Response Form'!H61='Backroom - question input'!$E$2,1,0)</f>
        <v>0</v>
      </c>
      <c r="G23" s="18" t="str">
        <f>IF(B23="","","-")</f>
        <v/>
      </c>
      <c r="AS23" t="str">
        <f>'Backroom - question output calc'!B22</f>
        <v>Land Transportation Activities</v>
      </c>
      <c r="AT23" s="248" cm="1">
        <f t="array" ref="AT23">_xlfn.XLOOKUP(1,(RiskStatements[Climate Variables/Explainers]='View Results Report'!$B$31)*(RiskStatements[Elements at Risk]='Backroom - report content'!$AS23)*(RiskStatements[Risk Score - Present]&gt;2),RiskStatements[Include],0,0)</f>
        <v>0</v>
      </c>
      <c r="AU23" t="str">
        <f t="shared" si="5"/>
        <v/>
      </c>
      <c r="AV23" t="str">
        <f>IF(AT23=0,"",IF(SUM(AT24:AT$27)=1,", and ",IF(SUM(AT24:AT$27)=0,". ",", ")))</f>
        <v/>
      </c>
      <c r="AW23" s="248" cm="1">
        <f t="array" ref="AW23">_xlfn.XLOOKUP(1,(RiskStatements[Climate Variables/Explainers]='View Results Report'!$B$32)*(RiskStatements[Elements at Risk]='Backroom - report content'!$AS23)*(RiskStatements[Risk Score - Present]&gt;2),RiskStatements[Include],0,0)</f>
        <v>0</v>
      </c>
      <c r="AX23" t="str">
        <f t="shared" si="6"/>
        <v/>
      </c>
      <c r="AY23" t="str">
        <f>IF(AW23=0,"",IF(SUM(AW24:AW$27)=1,", and ",IF(SUM(AW24:AW$27)=0,". ",", ")))</f>
        <v/>
      </c>
      <c r="AZ23" s="248" cm="1">
        <f t="array" ref="AZ23">_xlfn.XLOOKUP(1,(RiskStatements[Climate Variables/Explainers]='View Results Report'!$B$33)*(RiskStatements[Elements at Risk]='Backroom - report content'!$AS23)*(RiskStatements[Risk Score - Present]&gt;2),RiskStatements[Include],0,0)</f>
        <v>0</v>
      </c>
      <c r="BA23" t="str">
        <f t="shared" si="7"/>
        <v/>
      </c>
      <c r="BB23" t="str">
        <f>IF(AZ23=0,"",IF(SUM(AZ24:AZ$27)=1,", and ",IF(SUM(AZ24:AZ$27)=0,". ",", ")))</f>
        <v/>
      </c>
      <c r="BS23" t="str">
        <f>IF(BQ23=0,"",IF(SUM(BQ24:BQ$27)=1,", and ",IF(SUM(BQ24:BQ$27)=0,". ",", ")))</f>
        <v/>
      </c>
    </row>
    <row r="24" spans="2:71" x14ac:dyDescent="0.35">
      <c r="B24" s="115"/>
      <c r="E24" t="s">
        <v>395</v>
      </c>
      <c r="F24" s="31">
        <f>IF('Response Form'!H62='Backroom - question input'!$E$2,1,0)</f>
        <v>0</v>
      </c>
      <c r="G24" s="18" t="str">
        <f>IF(B24="","","-")</f>
        <v/>
      </c>
      <c r="AS24" t="str">
        <f>'Backroom - question output calc'!B23</f>
        <v>Water Transportation Activities</v>
      </c>
      <c r="AT24" s="248" cm="1">
        <f t="array" ref="AT24">_xlfn.XLOOKUP(1,(RiskStatements[Climate Variables/Explainers]='View Results Report'!$B$31)*(RiskStatements[Elements at Risk]='Backroom - report content'!$AS24)*(RiskStatements[Risk Score - Present]&gt;2),RiskStatements[Include],0,0)</f>
        <v>0</v>
      </c>
      <c r="AU24" t="str">
        <f t="shared" si="5"/>
        <v/>
      </c>
      <c r="AV24" t="str">
        <f>IF(AT24=0,"",IF(SUM(AT25:AT$27)=1,", and ",IF(SUM(AT25:AT$27)=0,". ",", ")))</f>
        <v/>
      </c>
      <c r="AW24" s="248" cm="1">
        <f t="array" ref="AW24">_xlfn.XLOOKUP(1,(RiskStatements[Climate Variables/Explainers]='View Results Report'!$B$32)*(RiskStatements[Elements at Risk]='Backroom - report content'!$AS24)*(RiskStatements[Risk Score - Present]&gt;2),RiskStatements[Include],0,0)</f>
        <v>0</v>
      </c>
      <c r="AX24" t="str">
        <f t="shared" si="6"/>
        <v/>
      </c>
      <c r="AY24" t="str">
        <f>IF(AW24=0,"",IF(SUM(AW25:AW$27)=1,", and ",IF(SUM(AW25:AW$27)=0,". ",", ")))</f>
        <v/>
      </c>
      <c r="AZ24" s="248" cm="1">
        <f t="array" ref="AZ24">_xlfn.XLOOKUP(1,(RiskStatements[Climate Variables/Explainers]='View Results Report'!$B$33)*(RiskStatements[Elements at Risk]='Backroom - report content'!$AS24)*(RiskStatements[Risk Score - Present]&gt;2),RiskStatements[Include],0,0)</f>
        <v>0</v>
      </c>
      <c r="BA24" t="str">
        <f t="shared" si="7"/>
        <v/>
      </c>
      <c r="BB24" t="str">
        <f>IF(AZ24=0,"",IF(SUM(AZ25:AZ$27)=1,", and ",IF(SUM(AZ25:AZ$27)=0,". ",", ")))</f>
        <v/>
      </c>
      <c r="BS24" t="str">
        <f>IF(BQ24=0,"",IF(SUM(BQ25:BQ$27)=1,", and ",IF(SUM(BQ25:BQ$27)=0,". ",", ")))</f>
        <v/>
      </c>
    </row>
    <row r="25" spans="2:71" x14ac:dyDescent="0.35">
      <c r="B25" s="115"/>
      <c r="E25" t="s">
        <v>479</v>
      </c>
      <c r="F25" s="31">
        <f>IF('Response Form'!H63='Backroom - question input'!$E$2,1,0)</f>
        <v>0</v>
      </c>
      <c r="G25" s="18" t="str">
        <f>IF(B25="","","-")</f>
        <v/>
      </c>
      <c r="AS25" t="str">
        <f>'Backroom - question output calc'!B24</f>
        <v>Office / Shop / Admin Activities</v>
      </c>
      <c r="AT25" s="248" cm="1">
        <f t="array" ref="AT25">_xlfn.XLOOKUP(1,(RiskStatements[Climate Variables/Explainers]='View Results Report'!$B$31)*(RiskStatements[Elements at Risk]='Backroom - report content'!$AS25)*(RiskStatements[Risk Score - Present]&gt;2),RiskStatements[Include],0,0)</f>
        <v>0</v>
      </c>
      <c r="AU25" t="str">
        <f t="shared" si="5"/>
        <v/>
      </c>
      <c r="AV25" t="str">
        <f>IF(AT25=0,"",IF(SUM(AT26:AT$27)=1,", and ",IF(SUM(AT26:AT$27)=0,". ",", ")))</f>
        <v/>
      </c>
      <c r="AW25" s="248" cm="1">
        <f t="array" ref="AW25">_xlfn.XLOOKUP(1,(RiskStatements[Climate Variables/Explainers]='View Results Report'!$B$32)*(RiskStatements[Elements at Risk]='Backroom - report content'!$AS25)*(RiskStatements[Risk Score - Present]&gt;2),RiskStatements[Include],0,0)</f>
        <v>0</v>
      </c>
      <c r="AX25" t="str">
        <f t="shared" si="6"/>
        <v/>
      </c>
      <c r="AY25" t="str">
        <f>IF(AW25=0,"",IF(SUM(AW26:AW$27)=1,", and ",IF(SUM(AW26:AW$27)=0,". ",", ")))</f>
        <v/>
      </c>
      <c r="AZ25" s="248" cm="1">
        <f t="array" ref="AZ25">_xlfn.XLOOKUP(1,(RiskStatements[Climate Variables/Explainers]='View Results Report'!$B$33)*(RiskStatements[Elements at Risk]='Backroom - report content'!$AS25)*(RiskStatements[Risk Score - Present]&gt;2),RiskStatements[Include],0,0)</f>
        <v>0</v>
      </c>
      <c r="BA25" t="str">
        <f t="shared" si="7"/>
        <v/>
      </c>
      <c r="BB25" t="str">
        <f>IF(AZ25=0,"",IF(SUM(AZ26:AZ$27)=1,", and ",IF(SUM(AZ26:AZ$27)=0,". ",", ")))</f>
        <v/>
      </c>
      <c r="BS25" t="str">
        <f>IF(BQ25=0,"",IF(SUM(BQ26:BQ$27)=1,", and ",IF(SUM(BQ26:BQ$27)=0,". ",", ")))</f>
        <v/>
      </c>
    </row>
    <row r="26" spans="2:71" x14ac:dyDescent="0.35">
      <c r="B26" s="115"/>
      <c r="E26" t="s">
        <v>285</v>
      </c>
      <c r="F26" s="31">
        <f>IF('Response Form'!H64='Backroom - question input'!$E$2,1,0)</f>
        <v>0</v>
      </c>
      <c r="G26" s="18" t="str">
        <f>IF(B26="","","-")</f>
        <v/>
      </c>
      <c r="AS26" t="str">
        <f>'Backroom - question output calc'!B25</f>
        <v>Goods Supply Activities</v>
      </c>
      <c r="AT26" s="248" cm="1">
        <f t="array" ref="AT26">_xlfn.XLOOKUP(1,(RiskStatements[Climate Variables/Explainers]='View Results Report'!$B$31)*(RiskStatements[Elements at Risk]='Backroom - report content'!$AS26)*(RiskStatements[Risk Score - Present]&gt;2),RiskStatements[Include],0,0)</f>
        <v>0</v>
      </c>
      <c r="AU26" t="str">
        <f t="shared" si="5"/>
        <v/>
      </c>
      <c r="AV26" t="str">
        <f>IF(AT26=0,"",IF(SUM(AT27:AT$27)=1,", and ",IF(SUM(AT27:AT$27)=0,". ",", ")))</f>
        <v/>
      </c>
      <c r="AW26" s="248" cm="1">
        <f t="array" ref="AW26">_xlfn.XLOOKUP(1,(RiskStatements[Climate Variables/Explainers]='View Results Report'!$B$32)*(RiskStatements[Elements at Risk]='Backroom - report content'!$AS26)*(RiskStatements[Risk Score - Present]&gt;2),RiskStatements[Include],0,0)</f>
        <v>0</v>
      </c>
      <c r="AX26" t="str">
        <f t="shared" si="6"/>
        <v/>
      </c>
      <c r="AY26" t="str">
        <f>IF(AW26=0,"",IF(SUM(AW27:AW$27)=1,", and ",IF(SUM(AW27:AW$27)=0,". ",", ")))</f>
        <v/>
      </c>
      <c r="AZ26" s="248" cm="1">
        <f t="array" ref="AZ26">_xlfn.XLOOKUP(1,(RiskStatements[Climate Variables/Explainers]='View Results Report'!$B$33)*(RiskStatements[Elements at Risk]='Backroom - report content'!$AS26)*(RiskStatements[Risk Score - Present]&gt;2),RiskStatements[Include],0,0)</f>
        <v>0</v>
      </c>
      <c r="BA26" t="str">
        <f t="shared" si="7"/>
        <v/>
      </c>
      <c r="BB26" t="str">
        <f>IF(AZ26=0,"",IF(SUM(AZ27:AZ$27)=1,", and ",IF(SUM(AZ27:AZ$27)=0,". ",", ")))</f>
        <v/>
      </c>
      <c r="BS26" t="str">
        <f>IF(BQ26=0,"",IF(SUM(BQ27:BQ$27)=1,", and ",IF(SUM(BQ27:BQ$27)=0,". ",", ")))</f>
        <v/>
      </c>
    </row>
    <row r="27" spans="2:71" x14ac:dyDescent="0.35">
      <c r="B27" s="115"/>
      <c r="E27" t="s">
        <v>396</v>
      </c>
      <c r="F27" s="31">
        <f>IF('Response Form'!H65='Backroom - question input'!$E$2,1,0)</f>
        <v>0</v>
      </c>
      <c r="G27" s="18" t="str">
        <f>IF(B27="","","-")</f>
        <v/>
      </c>
      <c r="AS27" t="str">
        <f>'Backroom - question output calc'!B26</f>
        <v>Construction Activities</v>
      </c>
      <c r="AT27" s="248" cm="1">
        <f t="array" ref="AT27">_xlfn.XLOOKUP(1,(RiskStatements[Climate Variables/Explainers]='View Results Report'!$B$31)*(RiskStatements[Elements at Risk]='Backroom - report content'!$AS27)*(RiskStatements[Risk Score - Present]&gt;2),RiskStatements[Include],0,0)</f>
        <v>0</v>
      </c>
      <c r="AU27" t="str">
        <f t="shared" si="5"/>
        <v/>
      </c>
      <c r="AV27" t="str">
        <f>IF(AT27=0,"",IF(SUM(AT$27:AT28)=1,", and ",IF(SUM(AT$27:AT28)=0,". ",", ")))</f>
        <v/>
      </c>
      <c r="AW27" s="248" cm="1">
        <f t="array" ref="AW27">_xlfn.XLOOKUP(1,(RiskStatements[Climate Variables/Explainers]='View Results Report'!$B$32)*(RiskStatements[Elements at Risk]='Backroom - report content'!$AS27)*(RiskStatements[Risk Score - Present]&gt;2),RiskStatements[Include],0,0)</f>
        <v>0</v>
      </c>
      <c r="AX27" t="str">
        <f t="shared" si="6"/>
        <v/>
      </c>
      <c r="AY27" t="str">
        <f>IF(AW27=0,"",IF(SUM(AW$27:AW28)=1,", and ",IF(SUM(AW$27:AW28)=0,". ",", ")))</f>
        <v/>
      </c>
      <c r="AZ27" s="248" cm="1">
        <f t="array" ref="AZ27">_xlfn.XLOOKUP(1,(RiskStatements[Climate Variables/Explainers]='View Results Report'!$B$33)*(RiskStatements[Elements at Risk]='Backroom - report content'!$AS27)*(RiskStatements[Risk Score - Present]&gt;2),RiskStatements[Include],0,0)</f>
        <v>0</v>
      </c>
      <c r="BA27" t="str">
        <f t="shared" si="7"/>
        <v/>
      </c>
      <c r="BB27" t="str">
        <f>IF(AZ27=0,"",IF(SUM(AZ$27:AZ28)=1,", and ",IF(SUM(AZ$27:AZ28)=0,". ",", ")))</f>
        <v/>
      </c>
      <c r="BS27" t="str">
        <f>IF(BQ27=0,"",IF(SUM(BQ$27:BQ28)=1,", and ",IF(SUM(BQ$27:BQ28)=0,". ",", ")))</f>
        <v/>
      </c>
    </row>
    <row r="28" spans="2:71" x14ac:dyDescent="0.35">
      <c r="E28" t="s">
        <v>480</v>
      </c>
      <c r="F28" s="31">
        <f>IF('Response Form'!H66='Backroom - question input'!$E$2,1,0)</f>
        <v>0</v>
      </c>
    </row>
    <row r="29" spans="2:71" x14ac:dyDescent="0.35">
      <c r="B29" s="30" t="str">
        <f>IF(F28=1,E28,"")</f>
        <v/>
      </c>
    </row>
    <row r="31" spans="2:71" ht="227.5" x14ac:dyDescent="0.35">
      <c r="B31" s="30" t="str">
        <f>_xlfn.CONCAT(C31:F31)</f>
        <v>Based on the above, the Rapid Climate Risk Assessment Framework assesses the industry has exposure to the following hazards: Tropical Cyclone. The Framework asks the user to input a baseline score for the PRESENT exposure for each of the climate hazards based on their industry knowledge. If a score is blank, the framework will use default exposure score ratings based on Van-KIRAP data. The user’s baseline scores are then adjusted using RCP8.5 to estimate likely exposure at 2050 and 2100. The default exposure takes into account the elements' general proximity to the climate hazard and the expected frequency and intensity over time.</v>
      </c>
      <c r="C31" s="22" t="s">
        <v>397</v>
      </c>
      <c r="D31" t="str">
        <f>AK4</f>
        <v xml:space="preserve">Tropical Cyclone. </v>
      </c>
      <c r="F31" s="31" t="s">
        <v>464</v>
      </c>
    </row>
    <row r="32" spans="2:71" ht="18.649999999999999" customHeight="1" x14ac:dyDescent="0.35">
      <c r="C32" s="31"/>
      <c r="D32" s="49"/>
      <c r="G32" s="49"/>
    </row>
    <row r="33" spans="2:8" ht="18" x14ac:dyDescent="0.35">
      <c r="B33" s="185" t="s">
        <v>280</v>
      </c>
    </row>
    <row r="34" spans="2:8" x14ac:dyDescent="0.35">
      <c r="B34" s="87" t="s">
        <v>292</v>
      </c>
      <c r="E34" s="49"/>
      <c r="F34" s="22"/>
    </row>
    <row r="35" spans="2:8" ht="149.4" customHeight="1" x14ac:dyDescent="0.35">
      <c r="B35" s="30" t="str">
        <f>IF(D36="",F35,_xlfn.CONCAT(F36,C36:E36))</f>
        <v>The vulnerability assessment has used default preliminary vulnerability scores. The default vulnerability considers how sensitive the element typically is to the climate hazard and how able it is to adapt to the changing climate.</v>
      </c>
      <c r="C35" s="22" t="s">
        <v>483</v>
      </c>
      <c r="D35" t="str">
        <f>IF('Response Form'!P117="Yes", " that the user agrees with","")</f>
        <v/>
      </c>
      <c r="E35" s="49" t="s">
        <v>484</v>
      </c>
      <c r="F35" s="22" t="str">
        <f>IF('Response Form'!P117="No",_xlfn.CONCAT('Backroom - report content'!F36,'Backroom - report content'!G36,'Backroom - report content'!E35),_xlfn.CONCAT('Backroom - report content'!C35:E35))</f>
        <v>The vulnerability assessment has used default preliminary vulnerability scores. The default vulnerability considers how sensitive the element typically is to the climate hazard and how able it is to adapt to the changing climate.</v>
      </c>
    </row>
    <row r="36" spans="2:8" ht="137.4" customHeight="1" x14ac:dyDescent="0.35">
      <c r="C36" s="22" t="s">
        <v>296</v>
      </c>
      <c r="D36" s="18" t="str">
        <f>'Backroom - question output calc'!L44</f>
        <v/>
      </c>
      <c r="E36" s="49" t="s">
        <v>319</v>
      </c>
      <c r="F36" s="22" t="str">
        <f>IF('Response Form'!P117="No","The user did not agree with the default vulnerability assessment. ","")</f>
        <v/>
      </c>
      <c r="G36" t="s">
        <v>485</v>
      </c>
    </row>
    <row r="37" spans="2:8" x14ac:dyDescent="0.35">
      <c r="B37" s="30" t="str">
        <f>IF(D36&lt;&gt;"",IF(D37&lt;&gt;0,_xlfn.CONCAT(C37:D37),""),"")</f>
        <v/>
      </c>
      <c r="C37" s="22" t="s">
        <v>302</v>
      </c>
      <c r="D37">
        <f>'Response Form'!D119</f>
        <v>0</v>
      </c>
      <c r="E37" s="49"/>
      <c r="F37" s="22"/>
    </row>
    <row r="38" spans="2:8" x14ac:dyDescent="0.35">
      <c r="E38" s="49"/>
      <c r="F38" s="22"/>
    </row>
    <row r="39" spans="2:8" ht="18" x14ac:dyDescent="0.35">
      <c r="B39" s="185" t="s">
        <v>482</v>
      </c>
      <c r="E39" s="49"/>
      <c r="F39" s="22"/>
    </row>
    <row r="40" spans="2:8" x14ac:dyDescent="0.35">
      <c r="B40" s="22" t="s">
        <v>303</v>
      </c>
      <c r="E40" s="49"/>
      <c r="F40" s="22"/>
    </row>
    <row r="41" spans="2:8" ht="157.5" x14ac:dyDescent="0.35">
      <c r="B41" s="31" t="s">
        <v>398</v>
      </c>
      <c r="E41" s="49"/>
      <c r="F41" s="22"/>
    </row>
    <row r="42" spans="2:8" ht="122.5" x14ac:dyDescent="0.35">
      <c r="B42" s="31" t="s">
        <v>399</v>
      </c>
      <c r="E42" s="49"/>
      <c r="F42" s="22"/>
    </row>
    <row r="43" spans="2:8" x14ac:dyDescent="0.35">
      <c r="B43" s="22" t="s">
        <v>304</v>
      </c>
      <c r="E43" s="49"/>
      <c r="F43" s="22"/>
    </row>
    <row r="44" spans="2:8" x14ac:dyDescent="0.35">
      <c r="E44" s="49"/>
      <c r="F44" s="22"/>
    </row>
    <row r="45" spans="2:8" x14ac:dyDescent="0.35">
      <c r="B45" s="30" t="str">
        <f>IF(D45="","",IF(F45&lt;&gt;"",_xlfn.CONCAT(C45:F45),_xlfn.CONCAT(G45:H45)))</f>
        <v/>
      </c>
      <c r="C45" s="22" t="s">
        <v>360</v>
      </c>
      <c r="D45" t="str">
        <f>'View Results Report'!B31</f>
        <v/>
      </c>
      <c r="E45" s="49" t="s">
        <v>361</v>
      </c>
      <c r="F45" s="22" t="str">
        <f>AV4</f>
        <v/>
      </c>
      <c r="G45" t="s">
        <v>466</v>
      </c>
      <c r="H45" t="str">
        <f>'View Results Report'!B31</f>
        <v/>
      </c>
    </row>
    <row r="46" spans="2:8" x14ac:dyDescent="0.35">
      <c r="B46" s="30" t="str">
        <f>IF(OR(D46="",D46=0),"",IF(F46&lt;&gt;"",_xlfn.CONCAT(C46:F46),_xlfn.CONCAT(G46:H46)))</f>
        <v/>
      </c>
      <c r="C46" s="22" t="s">
        <v>360</v>
      </c>
      <c r="D46">
        <f>'View Results Report'!B32</f>
        <v>0</v>
      </c>
      <c r="E46" s="49" t="s">
        <v>361</v>
      </c>
      <c r="F46" s="22" t="str">
        <f>AY4</f>
        <v/>
      </c>
      <c r="G46" t="s">
        <v>466</v>
      </c>
      <c r="H46">
        <f>'View Results Report'!B32</f>
        <v>0</v>
      </c>
    </row>
    <row r="47" spans="2:8" x14ac:dyDescent="0.35">
      <c r="B47" s="30" t="str">
        <f>IF(OR(D47="",D47=0),"",IF(F47&lt;&gt;"",_xlfn.CONCAT(C47:F47),_xlfn.CONCAT(G47:H47)))</f>
        <v/>
      </c>
      <c r="C47" s="22" t="s">
        <v>360</v>
      </c>
      <c r="D47">
        <f>'View Results Report'!B33</f>
        <v>0</v>
      </c>
      <c r="E47" s="49" t="s">
        <v>361</v>
      </c>
      <c r="F47" s="22" t="str">
        <f>BB4</f>
        <v/>
      </c>
      <c r="G47" t="s">
        <v>466</v>
      </c>
      <c r="H47">
        <f>'View Results Report'!B33</f>
        <v>0</v>
      </c>
    </row>
    <row r="48" spans="2:8" x14ac:dyDescent="0.35">
      <c r="B48" s="300"/>
      <c r="E48" s="49"/>
      <c r="F48" s="22"/>
    </row>
    <row r="49" spans="2:8" x14ac:dyDescent="0.35">
      <c r="B49" s="115" t="str">
        <f>IF(D49="","",IF(F49&lt;&gt;"",_xlfn.CONCAT(C49:F49),_xlfn.CONCAT(G49:H49)))</f>
        <v/>
      </c>
      <c r="C49" s="22" t="s">
        <v>359</v>
      </c>
      <c r="D49" t="str">
        <f>'View Results Report'!B36</f>
        <v/>
      </c>
      <c r="E49" s="49" t="s">
        <v>366</v>
      </c>
      <c r="F49" s="22" t="str">
        <f>BG4</f>
        <v/>
      </c>
      <c r="G49" t="s">
        <v>467</v>
      </c>
      <c r="H49" t="str">
        <f>'View Results Report'!B36</f>
        <v/>
      </c>
    </row>
    <row r="50" spans="2:8" x14ac:dyDescent="0.35">
      <c r="B50" s="30" t="str">
        <f>IF(OR(D50="",D50=0),"",IF(F50&lt;&gt;"",_xlfn.CONCAT(C50:F50),_xlfn.CONCAT(G50:H50)))</f>
        <v/>
      </c>
      <c r="C50" s="22" t="s">
        <v>359</v>
      </c>
      <c r="D50">
        <f>'View Results Report'!B37</f>
        <v>0</v>
      </c>
      <c r="E50" s="49" t="s">
        <v>366</v>
      </c>
      <c r="F50" s="22" t="str">
        <f>BJ4</f>
        <v/>
      </c>
      <c r="G50" t="s">
        <v>467</v>
      </c>
      <c r="H50">
        <f>'View Results Report'!B37</f>
        <v>0</v>
      </c>
    </row>
    <row r="51" spans="2:8" x14ac:dyDescent="0.35">
      <c r="B51" s="30" t="str">
        <f t="shared" ref="B51:B53" si="13">IF(OR(D51="",D51=0),"",IF(F51&lt;&gt;"",_xlfn.CONCAT(C51:F51),_xlfn.CONCAT(G51:H51)))</f>
        <v/>
      </c>
      <c r="C51" s="22" t="s">
        <v>359</v>
      </c>
      <c r="D51">
        <f>'View Results Report'!B38</f>
        <v>0</v>
      </c>
      <c r="E51" s="49" t="s">
        <v>366</v>
      </c>
      <c r="F51" s="22" t="str">
        <f>BM4</f>
        <v/>
      </c>
      <c r="G51" t="s">
        <v>467</v>
      </c>
      <c r="H51">
        <f>'View Results Report'!B38</f>
        <v>0</v>
      </c>
    </row>
    <row r="52" spans="2:8" x14ac:dyDescent="0.35">
      <c r="B52" s="30" t="str">
        <f t="shared" si="13"/>
        <v/>
      </c>
      <c r="C52" s="22" t="s">
        <v>359</v>
      </c>
      <c r="D52">
        <f>'View Results Report'!B39</f>
        <v>0</v>
      </c>
      <c r="E52" s="49" t="s">
        <v>366</v>
      </c>
      <c r="F52" s="22" t="str">
        <f>BP4</f>
        <v/>
      </c>
      <c r="G52" t="s">
        <v>467</v>
      </c>
      <c r="H52">
        <f>'View Results Report'!B39</f>
        <v>0</v>
      </c>
    </row>
    <row r="53" spans="2:8" x14ac:dyDescent="0.35">
      <c r="B53" s="30" t="str">
        <f t="shared" si="13"/>
        <v/>
      </c>
      <c r="C53" s="22" t="s">
        <v>359</v>
      </c>
      <c r="D53">
        <f>'View Results Report'!B40</f>
        <v>0</v>
      </c>
      <c r="E53" s="49" t="s">
        <v>366</v>
      </c>
      <c r="F53" s="22" t="str">
        <f>BS4</f>
        <v/>
      </c>
      <c r="G53" t="s">
        <v>467</v>
      </c>
      <c r="H53">
        <f>'View Results Report'!B40</f>
        <v>0</v>
      </c>
    </row>
    <row r="54" spans="2:8" x14ac:dyDescent="0.35">
      <c r="E54" s="49"/>
      <c r="F54" s="22"/>
    </row>
    <row r="55" spans="2:8" x14ac:dyDescent="0.35">
      <c r="E55" s="49"/>
      <c r="F55" s="22"/>
    </row>
    <row r="56" spans="2:8" x14ac:dyDescent="0.35">
      <c r="E56" s="49"/>
      <c r="F56" s="22"/>
    </row>
    <row r="57" spans="2:8" x14ac:dyDescent="0.35">
      <c r="E57" s="49"/>
      <c r="F57" s="22"/>
    </row>
    <row r="58" spans="2:8" x14ac:dyDescent="0.35">
      <c r="E58" s="49"/>
      <c r="F58" s="22"/>
    </row>
    <row r="59" spans="2:8" x14ac:dyDescent="0.35">
      <c r="E59" s="49"/>
      <c r="F59" s="22"/>
    </row>
    <row r="60" spans="2:8" ht="36" x14ac:dyDescent="0.35">
      <c r="B60" s="241" t="s">
        <v>507</v>
      </c>
      <c r="E60" s="49"/>
      <c r="F60" s="22"/>
    </row>
    <row r="61" spans="2:8" x14ac:dyDescent="0.35">
      <c r="B61" s="87" t="s">
        <v>306</v>
      </c>
      <c r="E61" s="49"/>
      <c r="F61" s="22"/>
    </row>
    <row r="62" spans="2:8" x14ac:dyDescent="0.35">
      <c r="B62" s="87" t="s">
        <v>400</v>
      </c>
      <c r="E62" s="49"/>
      <c r="F62" s="22"/>
    </row>
    <row r="63" spans="2:8" x14ac:dyDescent="0.35">
      <c r="B63" s="87" t="s">
        <v>307</v>
      </c>
      <c r="E63" s="49"/>
      <c r="F63" s="22"/>
    </row>
    <row r="64" spans="2:8" x14ac:dyDescent="0.35">
      <c r="B64" s="87" t="s">
        <v>308</v>
      </c>
      <c r="E64" s="49"/>
      <c r="F64" s="22"/>
    </row>
    <row r="65" spans="2:7" x14ac:dyDescent="0.35">
      <c r="B65" s="87" t="s">
        <v>309</v>
      </c>
      <c r="E65" s="49"/>
      <c r="F65" s="22"/>
    </row>
    <row r="66" spans="2:7" x14ac:dyDescent="0.35">
      <c r="E66" s="49"/>
      <c r="F66" s="22"/>
    </row>
    <row r="67" spans="2:7" ht="52.5" x14ac:dyDescent="0.35">
      <c r="B67" s="30" t="str">
        <f>IF(D67&lt;&gt;"",_xlfn.CONCAT(C67:D67),C68)</f>
        <v>The user has not identified any measures (either prepared or implemented) that manage the risks associated with climate hazards it is exposed to.</v>
      </c>
      <c r="C67" s="22" t="s">
        <v>311</v>
      </c>
      <c r="D67" t="str">
        <f>AP4</f>
        <v/>
      </c>
      <c r="E67" s="49"/>
      <c r="F67" s="22"/>
    </row>
    <row r="68" spans="2:7" x14ac:dyDescent="0.35">
      <c r="C68" s="22" t="s">
        <v>332</v>
      </c>
      <c r="E68" s="49"/>
      <c r="F68" s="22"/>
    </row>
    <row r="69" spans="2:7" ht="18" x14ac:dyDescent="0.35">
      <c r="B69" s="237" t="s">
        <v>508</v>
      </c>
      <c r="E69" s="49"/>
      <c r="F69" s="22"/>
    </row>
    <row r="70" spans="2:7" x14ac:dyDescent="0.35">
      <c r="B70" s="87" t="s">
        <v>401</v>
      </c>
      <c r="E70" s="49"/>
      <c r="F70" s="22"/>
    </row>
    <row r="71" spans="2:7" x14ac:dyDescent="0.35">
      <c r="C71" s="22" t="s">
        <v>312</v>
      </c>
      <c r="D71" t="s">
        <v>313</v>
      </c>
      <c r="E71" s="49">
        <f>'Response Form'!I188</f>
        <v>0</v>
      </c>
      <c r="F71" s="22" t="s">
        <v>328</v>
      </c>
      <c r="G71" t="s">
        <v>329</v>
      </c>
    </row>
    <row r="72" spans="2:7" x14ac:dyDescent="0.35">
      <c r="C72" s="22" t="s">
        <v>333</v>
      </c>
      <c r="E72" s="49"/>
      <c r="F72" s="22" t="s">
        <v>314</v>
      </c>
      <c r="G72" t="s">
        <v>330</v>
      </c>
    </row>
    <row r="73" spans="2:7" x14ac:dyDescent="0.35">
      <c r="E73" s="49"/>
      <c r="F73" s="22"/>
      <c r="G73" t="s">
        <v>331</v>
      </c>
    </row>
    <row r="74" spans="2:7" ht="35" x14ac:dyDescent="0.35">
      <c r="B74" s="58" t="str">
        <f>_xlfn.CONCAT(C74:G74)</f>
        <v>The user has not identified any PROTECT actions that have been taken.</v>
      </c>
      <c r="C74" s="87" t="str">
        <f>IF('Response Form'!H188='Backroom - question input'!E2,C71,C72)</f>
        <v>The user has not identified any PROTECT actions that have been taken.</v>
      </c>
      <c r="D74" s="18" t="str">
        <f>IF(E71&lt;&gt;0,_xlfn.CONCAT(D71:E71,". "),"")</f>
        <v/>
      </c>
      <c r="E74" s="18" t="str">
        <f>IF(C74=C72,"",IF('Response Form'!Q189='Backroom - question input'!$E$2,F71,F72))</f>
        <v/>
      </c>
      <c r="F74" s="87" t="str">
        <f>IF(C74=C72,"",IF(E74=F72,"",IF('Response Form'!Q190='Backroom - question input'!$E$2,G71,IF('Response Form'!Q190='Backroom - question input'!$E$4,G73,G72))))</f>
        <v/>
      </c>
    </row>
    <row r="75" spans="2:7" x14ac:dyDescent="0.35">
      <c r="C75" s="22" t="s">
        <v>320</v>
      </c>
      <c r="D75" t="s">
        <v>313</v>
      </c>
      <c r="E75" s="49">
        <f>'Response Form'!I191</f>
        <v>0</v>
      </c>
      <c r="F75" s="22" t="s">
        <v>324</v>
      </c>
      <c r="G75" t="s">
        <v>327</v>
      </c>
    </row>
    <row r="76" spans="2:7" x14ac:dyDescent="0.35">
      <c r="C76" s="22" t="s">
        <v>334</v>
      </c>
      <c r="E76" s="49"/>
      <c r="F76" s="22" t="s">
        <v>321</v>
      </c>
      <c r="G76" t="s">
        <v>322</v>
      </c>
    </row>
    <row r="77" spans="2:7" x14ac:dyDescent="0.35">
      <c r="E77" s="49"/>
      <c r="F77" s="22"/>
      <c r="G77" t="s">
        <v>323</v>
      </c>
    </row>
    <row r="78" spans="2:7" ht="35" x14ac:dyDescent="0.35">
      <c r="B78" s="30" t="str">
        <f>_xlfn.CONCAT(C78:F78)</f>
        <v>The user has not identified any ACCOMMODATE actions that have been taken.</v>
      </c>
      <c r="C78" s="244" t="str">
        <f>IF('Response Form'!H191='Backroom - question input'!$E$2,C75,C76)</f>
        <v>The user has not identified any ACCOMMODATE actions that have been taken.</v>
      </c>
      <c r="D78" s="18" t="str">
        <f>IF(E75&lt;&gt;0,_xlfn.CONCAT(D75:E75,". "),"")</f>
        <v/>
      </c>
      <c r="E78" s="18" t="str">
        <f>IF(C78=C76,"",IF('Response Form'!Q192='Backroom - question input'!$E$2,F75,F76))</f>
        <v/>
      </c>
      <c r="F78" s="87" t="str">
        <f>IF(C78=C76,"",IF(E78=F76,"",IF('Response Form'!Q193='Backroom - question input'!E2,G75,IF('Response Form'!Q193='Backroom - question input'!$E$4,G77,G76))))</f>
        <v/>
      </c>
    </row>
    <row r="79" spans="2:7" x14ac:dyDescent="0.35">
      <c r="C79" s="22" t="s">
        <v>325</v>
      </c>
      <c r="D79" t="s">
        <v>313</v>
      </c>
      <c r="E79" s="49">
        <f>'Response Form'!I194</f>
        <v>0</v>
      </c>
      <c r="F79" s="22" t="s">
        <v>324</v>
      </c>
      <c r="G79" t="s">
        <v>327</v>
      </c>
    </row>
    <row r="80" spans="2:7" x14ac:dyDescent="0.35">
      <c r="C80" s="22" t="s">
        <v>335</v>
      </c>
      <c r="E80" s="49"/>
      <c r="F80" s="22" t="s">
        <v>321</v>
      </c>
      <c r="G80" t="s">
        <v>322</v>
      </c>
    </row>
    <row r="81" spans="2:7" x14ac:dyDescent="0.35">
      <c r="E81" s="49"/>
      <c r="F81" s="22"/>
      <c r="G81" t="s">
        <v>323</v>
      </c>
    </row>
    <row r="82" spans="2:7" ht="35" x14ac:dyDescent="0.35">
      <c r="B82" s="30" t="str">
        <f>_xlfn.CONCAT(C82:F82)</f>
        <v>The user has not identified any RETREAT actions that have been taken.</v>
      </c>
      <c r="C82" s="87" t="str">
        <f>IF('Response Form'!H194='Backroom - question input'!$E$2,C79,C80)</f>
        <v>The user has not identified any RETREAT actions that have been taken.</v>
      </c>
      <c r="D82" s="18" t="str">
        <f>IF(E79&lt;&gt;0,_xlfn.CONCAT(D79:E79,". "),"")</f>
        <v/>
      </c>
      <c r="E82" s="18" t="str">
        <f>IF(C82=C80,"",IF('Response Form'!Q195='Backroom - question input'!$E$2,F79,F80))</f>
        <v/>
      </c>
      <c r="F82" s="87" t="str">
        <f>IF(C82=C80,"",IF(E82=F80,"",IF('Response Form'!Q196='Backroom - question input'!$E$2,G79,IF('Response Form'!Q196='Backroom - question input'!$E$4,G81,G80))))</f>
        <v/>
      </c>
    </row>
    <row r="83" spans="2:7" x14ac:dyDescent="0.35">
      <c r="C83" s="22" t="s">
        <v>326</v>
      </c>
      <c r="D83" t="s">
        <v>313</v>
      </c>
      <c r="E83" s="49">
        <f>'Response Form'!I197</f>
        <v>0</v>
      </c>
      <c r="F83" s="22" t="s">
        <v>324</v>
      </c>
      <c r="G83" t="s">
        <v>327</v>
      </c>
    </row>
    <row r="84" spans="2:7" x14ac:dyDescent="0.35">
      <c r="C84" s="22" t="s">
        <v>336</v>
      </c>
      <c r="E84" s="49"/>
      <c r="F84" s="22" t="s">
        <v>321</v>
      </c>
      <c r="G84" t="s">
        <v>322</v>
      </c>
    </row>
    <row r="85" spans="2:7" x14ac:dyDescent="0.35">
      <c r="E85" s="49"/>
      <c r="F85" s="22"/>
      <c r="G85" t="s">
        <v>323</v>
      </c>
    </row>
    <row r="86" spans="2:7" ht="35" x14ac:dyDescent="0.35">
      <c r="B86" s="30" t="str">
        <f>_xlfn.CONCAT(C86:F86)</f>
        <v>The user has not identified any AVOID actions that have been taken.</v>
      </c>
      <c r="C86" s="87" t="str">
        <f>IF('Response Form'!H197='Backroom - question input'!$E$2,C83,C84)</f>
        <v>The user has not identified any AVOID actions that have been taken.</v>
      </c>
      <c r="D86" s="18" t="str">
        <f>IF(E83&lt;&gt;0,_xlfn.CONCAT(D83:E83,". "),"")</f>
        <v/>
      </c>
      <c r="E86" s="18" t="str">
        <f>IF(C86=C84,"",IF('Response Form'!Q198='Backroom - question input'!$E$2,F83,F84))</f>
        <v/>
      </c>
      <c r="F86" s="87" t="str">
        <f>IF(C86=C84,"",IF(E86=F84,"",IF('Response Form'!Q199='Backroom - question input'!$E$2,G83,IF('Response Form'!Q199='Backroom - question input'!$E$4,G85,G84))))</f>
        <v/>
      </c>
    </row>
    <row r="87" spans="2:7" x14ac:dyDescent="0.35">
      <c r="E87" s="49"/>
      <c r="F87" s="22"/>
    </row>
    <row r="88" spans="2:7" x14ac:dyDescent="0.35">
      <c r="E88" s="49"/>
      <c r="F88" s="22"/>
    </row>
    <row r="89" spans="2:7" ht="18" x14ac:dyDescent="0.35">
      <c r="B89" s="241" t="s">
        <v>513</v>
      </c>
      <c r="E89" s="49"/>
      <c r="F89" s="22"/>
      <c r="G89" t="str">
        <f>_xlfn.CONCAT(F90:G92)</f>
        <v/>
      </c>
    </row>
    <row r="90" spans="2:7" ht="87.5" x14ac:dyDescent="0.35">
      <c r="B90" s="30" t="str">
        <f>IF(SUM(E90:E92)=0,C93,_xlfn.CONCAT(C90,G89))</f>
        <v xml:space="preserve">The user has stated that the industry does not use formal warning systems to forecast climate hazard events, traditional indicators to notify of upcoming potential issues or the Van KIRAP Climate Futures portal. </v>
      </c>
      <c r="C90" s="22" t="s">
        <v>340</v>
      </c>
      <c r="D90" t="s">
        <v>337</v>
      </c>
      <c r="E90" s="49">
        <f>IF('Response Form'!M204='Backroom - question input'!E2,1,0)</f>
        <v>0</v>
      </c>
      <c r="F90" s="87" t="str">
        <f>IF(E90=1,D90,"")</f>
        <v/>
      </c>
      <c r="G90" t="str">
        <f>IF(E90=0,"",IF(SUM($E$91:$E$92)=1,", and ",IF(SUM($E$91:$E$92)=0,". ",", ")))</f>
        <v/>
      </c>
    </row>
    <row r="91" spans="2:7" x14ac:dyDescent="0.35">
      <c r="D91" t="s">
        <v>338</v>
      </c>
      <c r="E91" s="49">
        <f>IF('Response Form'!M205='Backroom - question input'!E2,1,0)</f>
        <v>0</v>
      </c>
      <c r="F91" s="87" t="str">
        <f>IF(E91=1,D91,"")</f>
        <v/>
      </c>
      <c r="G91" t="str">
        <f>IF(E91=0,"",IF(SUM($E$92:$E$92)=1,", and ",IF(SUM($E$92:$E$92)=0,". ",", ")))</f>
        <v/>
      </c>
    </row>
    <row r="92" spans="2:7" x14ac:dyDescent="0.35">
      <c r="D92" t="s">
        <v>339</v>
      </c>
      <c r="E92" s="49">
        <f>IF('Response Form'!M206='Backroom - question input'!E2,1,0)</f>
        <v>0</v>
      </c>
      <c r="F92" s="87" t="str">
        <f>IF(E92=1,D92,"")</f>
        <v/>
      </c>
      <c r="G92" t="str">
        <f>IF(E92=0,"",". ")</f>
        <v/>
      </c>
    </row>
    <row r="93" spans="2:7" x14ac:dyDescent="0.35">
      <c r="C93" s="22" t="s">
        <v>341</v>
      </c>
      <c r="E93" s="49"/>
      <c r="F93" s="22"/>
    </row>
    <row r="94" spans="2:7" x14ac:dyDescent="0.35">
      <c r="B94" s="87" t="s">
        <v>402</v>
      </c>
      <c r="E94" s="49"/>
      <c r="F94" s="22"/>
    </row>
    <row r="95" spans="2:7" ht="52.5" x14ac:dyDescent="0.35">
      <c r="B95" s="271" t="s">
        <v>404</v>
      </c>
      <c r="C95" s="22" t="s">
        <v>407</v>
      </c>
      <c r="D95" t="s">
        <v>409</v>
      </c>
      <c r="E95" s="49"/>
      <c r="F95" s="22"/>
    </row>
    <row r="96" spans="2:7" ht="87.5" x14ac:dyDescent="0.35">
      <c r="B96" s="271" t="s">
        <v>406</v>
      </c>
      <c r="C96" s="22" t="s">
        <v>408</v>
      </c>
      <c r="D96" t="s">
        <v>409</v>
      </c>
      <c r="E96" s="49"/>
      <c r="F96" s="22"/>
    </row>
    <row r="97" spans="2:6" ht="70" x14ac:dyDescent="0.35">
      <c r="B97" s="268" t="s">
        <v>403</v>
      </c>
      <c r="C97" s="31" t="s">
        <v>410</v>
      </c>
      <c r="D97" t="s">
        <v>409</v>
      </c>
      <c r="E97" s="49"/>
      <c r="F97" s="22"/>
    </row>
    <row r="98" spans="2:6" ht="122.5" x14ac:dyDescent="0.35">
      <c r="B98" s="362" t="s">
        <v>522</v>
      </c>
      <c r="E98" s="49"/>
      <c r="F98" s="22"/>
    </row>
    <row r="99" spans="2:6" x14ac:dyDescent="0.35">
      <c r="B99" s="115" t="s">
        <v>342</v>
      </c>
      <c r="E99" s="49"/>
      <c r="F99" s="22"/>
    </row>
    <row r="100" spans="2:6" ht="18" x14ac:dyDescent="0.35">
      <c r="B100" s="185" t="s">
        <v>305</v>
      </c>
      <c r="E100" s="49"/>
      <c r="F100" s="22"/>
    </row>
    <row r="101" spans="2:6" x14ac:dyDescent="0.35">
      <c r="E101" s="49"/>
      <c r="F101" s="22"/>
    </row>
    <row r="102" spans="2:6" ht="87.5" x14ac:dyDescent="0.35">
      <c r="B102" s="30" t="s">
        <v>422</v>
      </c>
      <c r="E102" s="49"/>
      <c r="F102" s="22"/>
    </row>
    <row r="103" spans="2:6" ht="122.5" x14ac:dyDescent="0.35">
      <c r="B103" s="49" t="s">
        <v>421</v>
      </c>
      <c r="E103" s="49"/>
      <c r="F103" s="22"/>
    </row>
    <row r="104" spans="2:6" ht="105" x14ac:dyDescent="0.35">
      <c r="B104" s="49" t="s">
        <v>420</v>
      </c>
      <c r="E104" s="49"/>
      <c r="F104" s="22"/>
    </row>
    <row r="105" spans="2:6" x14ac:dyDescent="0.35">
      <c r="E105" s="49"/>
      <c r="F105" s="22"/>
    </row>
    <row r="106" spans="2:6" x14ac:dyDescent="0.35">
      <c r="E106" s="49"/>
      <c r="F106" s="22"/>
    </row>
    <row r="107" spans="2:6" ht="87.5" x14ac:dyDescent="0.35">
      <c r="B107" s="30" t="s">
        <v>423</v>
      </c>
    </row>
    <row r="109" spans="2:6" x14ac:dyDescent="0.35">
      <c r="B109" s="30" t="s">
        <v>152</v>
      </c>
    </row>
    <row r="110" spans="2:6" x14ac:dyDescent="0.35">
      <c r="B110" s="90"/>
    </row>
    <row r="112" spans="2:6" ht="18" x14ac:dyDescent="0.35">
      <c r="B112" s="91"/>
    </row>
  </sheetData>
  <mergeCells count="3">
    <mergeCell ref="K4:L4"/>
    <mergeCell ref="R4:S4"/>
    <mergeCell ref="Y4:Z4"/>
  </mergeCells>
  <hyperlinks>
    <hyperlink ref="B97" r:id="rId1" display="https://www.vanclimatefutures.gov.vu/dashboard/home" xr:uid="{29C44A07-D61B-4706-A59F-8BBECBE3B7DD}"/>
    <hyperlink ref="B95" r:id="rId2" display="https://www.vmgd.gov.vu/vmgd/index.php" xr:uid="{E7E6BE13-6111-4958-B03B-A2DFE076C6E9}"/>
    <hyperlink ref="B96" r:id="rId3" display="https://www.nab.vu/" xr:uid="{1A5C6726-A627-4577-B8F6-B4FBB5A76FF0}"/>
  </hyperlinks>
  <pageMargins left="0.7" right="0.7" top="0.75" bottom="0.75" header="0.3" footer="0.3"/>
  <pageSetup paperSize="256" orientation="portrait" horizontalDpi="1200" vertic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5946-03A0-4EC6-A343-D7574C60C88A}">
  <sheetPr codeName="Sheet11"/>
  <dimension ref="A1:AD111"/>
  <sheetViews>
    <sheetView topLeftCell="A25" zoomScale="48" workbookViewId="0">
      <selection activeCell="D39" sqref="D39"/>
    </sheetView>
  </sheetViews>
  <sheetFormatPr defaultRowHeight="17.5" x14ac:dyDescent="0.35"/>
  <cols>
    <col min="1" max="1" width="14" customWidth="1"/>
    <col min="2" max="2" width="26.9375" bestFit="1" customWidth="1"/>
    <col min="3" max="30" width="21.9375" customWidth="1"/>
  </cols>
  <sheetData>
    <row r="1" spans="1:30" ht="20" x14ac:dyDescent="0.35">
      <c r="A1" s="118" t="s">
        <v>83</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row>
    <row r="2" spans="1:30" ht="20" x14ac:dyDescent="0.35">
      <c r="A2" s="62" t="s">
        <v>84</v>
      </c>
      <c r="B2" s="61"/>
      <c r="C2" s="568" t="s">
        <v>85</v>
      </c>
      <c r="D2" s="568"/>
      <c r="E2" s="568"/>
      <c r="F2" s="568"/>
      <c r="G2" s="568"/>
      <c r="H2" s="568"/>
      <c r="I2" s="568"/>
      <c r="J2" s="569" t="s">
        <v>86</v>
      </c>
      <c r="K2" s="569"/>
      <c r="L2" s="569"/>
      <c r="M2" s="569"/>
      <c r="N2" s="569"/>
      <c r="O2" s="569"/>
      <c r="P2" s="569"/>
      <c r="Q2" s="569" t="s">
        <v>87</v>
      </c>
      <c r="R2" s="569"/>
      <c r="S2" s="569"/>
      <c r="T2" s="569"/>
      <c r="U2" s="569"/>
      <c r="V2" s="569"/>
      <c r="W2" s="569"/>
      <c r="X2" s="569" t="s">
        <v>88</v>
      </c>
      <c r="Y2" s="569"/>
      <c r="Z2" s="569"/>
      <c r="AA2" s="569"/>
      <c r="AB2" s="569"/>
      <c r="AC2" s="569"/>
      <c r="AD2" s="569"/>
    </row>
    <row r="3" spans="1:30" ht="18" x14ac:dyDescent="0.35">
      <c r="A3" s="80" t="s">
        <v>89</v>
      </c>
      <c r="B3" s="80" t="s">
        <v>90</v>
      </c>
      <c r="C3" s="81" t="s">
        <v>91</v>
      </c>
      <c r="D3" s="81" t="s">
        <v>92</v>
      </c>
      <c r="E3" s="81" t="s">
        <v>93</v>
      </c>
      <c r="F3" s="81" t="s">
        <v>94</v>
      </c>
      <c r="G3" s="81" t="s">
        <v>450</v>
      </c>
      <c r="H3" s="81" t="s">
        <v>95</v>
      </c>
      <c r="I3" s="81" t="s">
        <v>441</v>
      </c>
      <c r="J3" s="81" t="s">
        <v>96</v>
      </c>
      <c r="K3" s="81" t="s">
        <v>97</v>
      </c>
      <c r="L3" s="81" t="s">
        <v>98</v>
      </c>
      <c r="M3" s="81" t="s">
        <v>99</v>
      </c>
      <c r="N3" s="81" t="s">
        <v>451</v>
      </c>
      <c r="O3" s="81" t="s">
        <v>100</v>
      </c>
      <c r="P3" s="81" t="s">
        <v>452</v>
      </c>
      <c r="Q3" s="81" t="s">
        <v>101</v>
      </c>
      <c r="R3" s="81" t="s">
        <v>102</v>
      </c>
      <c r="S3" s="81" t="s">
        <v>103</v>
      </c>
      <c r="T3" s="81" t="s">
        <v>104</v>
      </c>
      <c r="U3" s="81" t="s">
        <v>453</v>
      </c>
      <c r="V3" s="81" t="s">
        <v>105</v>
      </c>
      <c r="W3" s="81" t="s">
        <v>454</v>
      </c>
      <c r="X3" s="81" t="s">
        <v>106</v>
      </c>
      <c r="Y3" s="81" t="s">
        <v>107</v>
      </c>
      <c r="Z3" s="81" t="s">
        <v>108</v>
      </c>
      <c r="AA3" s="81" t="s">
        <v>109</v>
      </c>
      <c r="AB3" s="81" t="s">
        <v>455</v>
      </c>
      <c r="AC3" s="81" t="s">
        <v>110</v>
      </c>
      <c r="AD3" s="81" t="s">
        <v>456</v>
      </c>
    </row>
    <row r="4" spans="1:30" ht="18" x14ac:dyDescent="0.35">
      <c r="A4" s="76" t="s">
        <v>111</v>
      </c>
      <c r="B4" s="73" t="s">
        <v>112</v>
      </c>
      <c r="C4" s="21" t="s">
        <v>113</v>
      </c>
      <c r="D4" s="50" t="s">
        <v>114</v>
      </c>
      <c r="E4" s="50" t="s">
        <v>113</v>
      </c>
      <c r="F4" s="50" t="s">
        <v>115</v>
      </c>
      <c r="G4" s="50" t="s">
        <v>113</v>
      </c>
      <c r="H4" s="50" t="s">
        <v>113</v>
      </c>
      <c r="I4" s="95" t="s">
        <v>114</v>
      </c>
      <c r="J4" s="50" t="s">
        <v>116</v>
      </c>
      <c r="K4" s="50" t="s">
        <v>115</v>
      </c>
      <c r="L4" s="50" t="s">
        <v>114</v>
      </c>
      <c r="M4" s="50" t="s">
        <v>115</v>
      </c>
      <c r="N4" s="50" t="s">
        <v>114</v>
      </c>
      <c r="O4" s="50" t="s">
        <v>114</v>
      </c>
      <c r="P4" s="95" t="s">
        <v>114</v>
      </c>
      <c r="Q4" s="21" t="s">
        <v>114</v>
      </c>
      <c r="R4" s="50" t="s">
        <v>115</v>
      </c>
      <c r="S4" s="50" t="s">
        <v>113</v>
      </c>
      <c r="T4" s="50" t="s">
        <v>115</v>
      </c>
      <c r="U4" s="50" t="s">
        <v>113</v>
      </c>
      <c r="V4" s="50" t="s">
        <v>114</v>
      </c>
      <c r="W4" s="95" t="s">
        <v>113</v>
      </c>
      <c r="X4" s="21" t="s">
        <v>113</v>
      </c>
      <c r="Y4" s="50" t="s">
        <v>116</v>
      </c>
      <c r="Z4" s="50" t="s">
        <v>113</v>
      </c>
      <c r="AA4" s="50" t="s">
        <v>115</v>
      </c>
      <c r="AB4" s="50" t="s">
        <v>113</v>
      </c>
      <c r="AC4" s="50" t="s">
        <v>113</v>
      </c>
      <c r="AD4" s="95" t="s">
        <v>113</v>
      </c>
    </row>
    <row r="5" spans="1:30" ht="18" x14ac:dyDescent="0.35">
      <c r="A5" s="75" t="s">
        <v>111</v>
      </c>
      <c r="B5" s="93" t="s">
        <v>117</v>
      </c>
      <c r="C5" s="23" t="s">
        <v>115</v>
      </c>
      <c r="D5" t="s">
        <v>113</v>
      </c>
      <c r="E5" t="s">
        <v>113</v>
      </c>
      <c r="F5" t="s">
        <v>113</v>
      </c>
      <c r="G5" t="s">
        <v>118</v>
      </c>
      <c r="H5" t="s">
        <v>118</v>
      </c>
      <c r="I5" s="19" t="s">
        <v>114</v>
      </c>
      <c r="J5" t="s">
        <v>115</v>
      </c>
      <c r="K5" t="s">
        <v>116</v>
      </c>
      <c r="L5" t="s">
        <v>114</v>
      </c>
      <c r="M5" t="s">
        <v>115</v>
      </c>
      <c r="N5" t="s">
        <v>118</v>
      </c>
      <c r="O5" t="s">
        <v>118</v>
      </c>
      <c r="P5" s="19" t="s">
        <v>114</v>
      </c>
      <c r="Q5" s="23" t="s">
        <v>116</v>
      </c>
      <c r="R5" t="s">
        <v>114</v>
      </c>
      <c r="S5" t="s">
        <v>113</v>
      </c>
      <c r="T5" t="s">
        <v>116</v>
      </c>
      <c r="U5" t="s">
        <v>118</v>
      </c>
      <c r="V5" t="s">
        <v>118</v>
      </c>
      <c r="W5" s="19" t="s">
        <v>113</v>
      </c>
      <c r="X5" s="23" t="s">
        <v>114</v>
      </c>
      <c r="Y5" t="s">
        <v>113</v>
      </c>
      <c r="Z5" t="s">
        <v>113</v>
      </c>
      <c r="AA5" t="s">
        <v>113</v>
      </c>
      <c r="AB5" t="s">
        <v>118</v>
      </c>
      <c r="AC5" t="s">
        <v>118</v>
      </c>
      <c r="AD5" s="19" t="s">
        <v>113</v>
      </c>
    </row>
    <row r="6" spans="1:30" ht="18" x14ac:dyDescent="0.35">
      <c r="A6" s="96" t="s">
        <v>111</v>
      </c>
      <c r="B6" s="74" t="s">
        <v>119</v>
      </c>
      <c r="C6" s="103" t="s">
        <v>114</v>
      </c>
      <c r="D6" s="17" t="s">
        <v>113</v>
      </c>
      <c r="E6" s="17" t="s">
        <v>113</v>
      </c>
      <c r="F6" s="17" t="s">
        <v>114</v>
      </c>
      <c r="G6" s="17" t="s">
        <v>118</v>
      </c>
      <c r="H6" s="17" t="s">
        <v>118</v>
      </c>
      <c r="I6" s="97" t="s">
        <v>114</v>
      </c>
      <c r="J6" t="s">
        <v>115</v>
      </c>
      <c r="K6" t="s">
        <v>116</v>
      </c>
      <c r="L6" t="s">
        <v>114</v>
      </c>
      <c r="M6" t="s">
        <v>116</v>
      </c>
      <c r="N6" t="s">
        <v>118</v>
      </c>
      <c r="O6" t="s">
        <v>118</v>
      </c>
      <c r="P6" s="19" t="s">
        <v>114</v>
      </c>
      <c r="Q6" s="23" t="s">
        <v>114</v>
      </c>
      <c r="R6" t="s">
        <v>114</v>
      </c>
      <c r="S6" t="s">
        <v>113</v>
      </c>
      <c r="T6" t="s">
        <v>114</v>
      </c>
      <c r="U6" t="s">
        <v>118</v>
      </c>
      <c r="V6" t="s">
        <v>118</v>
      </c>
      <c r="W6" s="19" t="s">
        <v>113</v>
      </c>
      <c r="X6" s="23" t="s">
        <v>114</v>
      </c>
      <c r="Y6" t="s">
        <v>114</v>
      </c>
      <c r="Z6" t="s">
        <v>113</v>
      </c>
      <c r="AA6" t="s">
        <v>113</v>
      </c>
      <c r="AB6" t="s">
        <v>118</v>
      </c>
      <c r="AC6" t="s">
        <v>118</v>
      </c>
      <c r="AD6" s="19" t="s">
        <v>113</v>
      </c>
    </row>
    <row r="7" spans="1:30" ht="18" x14ac:dyDescent="0.35">
      <c r="A7" s="79" t="s">
        <v>120</v>
      </c>
      <c r="B7" s="93" t="s">
        <v>210</v>
      </c>
      <c r="C7" s="23" t="s">
        <v>114</v>
      </c>
      <c r="D7" t="s">
        <v>116</v>
      </c>
      <c r="E7" t="s">
        <v>114</v>
      </c>
      <c r="F7" t="s">
        <v>116</v>
      </c>
      <c r="G7" t="s">
        <v>118</v>
      </c>
      <c r="H7" t="s">
        <v>118</v>
      </c>
      <c r="I7" s="19" t="s">
        <v>116</v>
      </c>
      <c r="J7" s="23" t="s">
        <v>116</v>
      </c>
      <c r="K7" t="s">
        <v>116</v>
      </c>
      <c r="L7" t="s">
        <v>114</v>
      </c>
      <c r="M7" t="s">
        <v>116</v>
      </c>
      <c r="N7" t="s">
        <v>118</v>
      </c>
      <c r="O7" t="s">
        <v>118</v>
      </c>
      <c r="P7" s="19" t="s">
        <v>116</v>
      </c>
      <c r="Q7" s="23" t="s">
        <v>114</v>
      </c>
      <c r="R7" t="s">
        <v>116</v>
      </c>
      <c r="S7" t="s">
        <v>113</v>
      </c>
      <c r="T7" t="s">
        <v>114</v>
      </c>
      <c r="U7" t="s">
        <v>118</v>
      </c>
      <c r="V7" t="s">
        <v>118</v>
      </c>
      <c r="W7" s="19" t="s">
        <v>114</v>
      </c>
      <c r="X7" s="23" t="s">
        <v>113</v>
      </c>
      <c r="Y7" t="s">
        <v>114</v>
      </c>
      <c r="Z7" t="s">
        <v>113</v>
      </c>
      <c r="AA7" t="s">
        <v>113</v>
      </c>
      <c r="AB7" t="s">
        <v>118</v>
      </c>
      <c r="AC7" t="s">
        <v>118</v>
      </c>
      <c r="AD7" s="19" t="s">
        <v>113</v>
      </c>
    </row>
    <row r="8" spans="1:30" ht="18" x14ac:dyDescent="0.35">
      <c r="A8" s="79" t="s">
        <v>120</v>
      </c>
      <c r="B8" s="93" t="s">
        <v>218</v>
      </c>
      <c r="C8" s="23" t="s">
        <v>114</v>
      </c>
      <c r="D8" t="s">
        <v>116</v>
      </c>
      <c r="E8" t="s">
        <v>114</v>
      </c>
      <c r="F8" t="s">
        <v>116</v>
      </c>
      <c r="G8" t="s">
        <v>118</v>
      </c>
      <c r="H8" t="s">
        <v>115</v>
      </c>
      <c r="I8" s="19" t="s">
        <v>115</v>
      </c>
      <c r="J8" s="23" t="s">
        <v>116</v>
      </c>
      <c r="K8" t="s">
        <v>116</v>
      </c>
      <c r="L8" t="s">
        <v>114</v>
      </c>
      <c r="M8" t="s">
        <v>115</v>
      </c>
      <c r="N8" t="s">
        <v>118</v>
      </c>
      <c r="O8" t="s">
        <v>116</v>
      </c>
      <c r="P8" s="19" t="s">
        <v>116</v>
      </c>
      <c r="Q8" s="23" t="s">
        <v>114</v>
      </c>
      <c r="R8" t="s">
        <v>116</v>
      </c>
      <c r="S8" t="s">
        <v>113</v>
      </c>
      <c r="T8" t="s">
        <v>116</v>
      </c>
      <c r="U8" t="s">
        <v>118</v>
      </c>
      <c r="V8" t="s">
        <v>114</v>
      </c>
      <c r="W8" s="19" t="s">
        <v>114</v>
      </c>
      <c r="X8" s="23" t="s">
        <v>113</v>
      </c>
      <c r="Y8" t="s">
        <v>114</v>
      </c>
      <c r="Z8" t="s">
        <v>113</v>
      </c>
      <c r="AA8" t="s">
        <v>116</v>
      </c>
      <c r="AB8" t="s">
        <v>118</v>
      </c>
      <c r="AC8" t="s">
        <v>114</v>
      </c>
      <c r="AD8" s="19" t="s">
        <v>114</v>
      </c>
    </row>
    <row r="9" spans="1:30" ht="18" x14ac:dyDescent="0.35">
      <c r="A9" s="79" t="s">
        <v>120</v>
      </c>
      <c r="B9" s="93" t="s">
        <v>220</v>
      </c>
      <c r="C9" s="23" t="s">
        <v>114</v>
      </c>
      <c r="D9" t="s">
        <v>114</v>
      </c>
      <c r="E9" t="s">
        <v>114</v>
      </c>
      <c r="F9" t="s">
        <v>116</v>
      </c>
      <c r="G9" t="s">
        <v>118</v>
      </c>
      <c r="H9" t="s">
        <v>118</v>
      </c>
      <c r="I9" s="19" t="s">
        <v>115</v>
      </c>
      <c r="J9" s="23" t="s">
        <v>116</v>
      </c>
      <c r="K9" t="s">
        <v>116</v>
      </c>
      <c r="L9" t="s">
        <v>114</v>
      </c>
      <c r="M9" t="s">
        <v>116</v>
      </c>
      <c r="N9" t="s">
        <v>118</v>
      </c>
      <c r="O9" t="s">
        <v>118</v>
      </c>
      <c r="P9" s="19" t="s">
        <v>116</v>
      </c>
      <c r="Q9" s="23" t="s">
        <v>114</v>
      </c>
      <c r="R9" t="s">
        <v>116</v>
      </c>
      <c r="S9" t="s">
        <v>113</v>
      </c>
      <c r="T9" t="s">
        <v>114</v>
      </c>
      <c r="U9" t="s">
        <v>118</v>
      </c>
      <c r="V9" t="s">
        <v>118</v>
      </c>
      <c r="W9" s="19" t="s">
        <v>114</v>
      </c>
      <c r="X9" s="23" t="s">
        <v>113</v>
      </c>
      <c r="Y9" t="s">
        <v>114</v>
      </c>
      <c r="Z9" t="s">
        <v>113</v>
      </c>
      <c r="AA9" t="s">
        <v>113</v>
      </c>
      <c r="AB9" t="s">
        <v>118</v>
      </c>
      <c r="AC9" t="s">
        <v>118</v>
      </c>
      <c r="AD9" s="19" t="s">
        <v>114</v>
      </c>
    </row>
    <row r="10" spans="1:30" ht="18" x14ac:dyDescent="0.35">
      <c r="A10" s="79" t="s">
        <v>120</v>
      </c>
      <c r="B10" s="93" t="s">
        <v>67</v>
      </c>
      <c r="C10" s="23" t="s">
        <v>116</v>
      </c>
      <c r="D10" t="s">
        <v>116</v>
      </c>
      <c r="E10" t="s">
        <v>114</v>
      </c>
      <c r="F10" t="s">
        <v>115</v>
      </c>
      <c r="G10" t="s">
        <v>118</v>
      </c>
      <c r="H10" t="s">
        <v>118</v>
      </c>
      <c r="I10" s="19" t="s">
        <v>115</v>
      </c>
      <c r="J10" s="23" t="s">
        <v>115</v>
      </c>
      <c r="K10" t="s">
        <v>116</v>
      </c>
      <c r="L10" t="s">
        <v>114</v>
      </c>
      <c r="M10" t="s">
        <v>115</v>
      </c>
      <c r="N10" t="s">
        <v>118</v>
      </c>
      <c r="O10" t="s">
        <v>118</v>
      </c>
      <c r="P10" s="19" t="s">
        <v>115</v>
      </c>
      <c r="Q10" s="23" t="s">
        <v>115</v>
      </c>
      <c r="R10" t="s">
        <v>116</v>
      </c>
      <c r="S10" t="s">
        <v>113</v>
      </c>
      <c r="T10" t="s">
        <v>116</v>
      </c>
      <c r="U10" t="s">
        <v>118</v>
      </c>
      <c r="V10" t="s">
        <v>118</v>
      </c>
      <c r="W10" s="19" t="s">
        <v>115</v>
      </c>
      <c r="X10" s="23" t="s">
        <v>116</v>
      </c>
      <c r="Y10" t="s">
        <v>114</v>
      </c>
      <c r="Z10" t="s">
        <v>113</v>
      </c>
      <c r="AA10" t="s">
        <v>116</v>
      </c>
      <c r="AB10" t="s">
        <v>118</v>
      </c>
      <c r="AC10" t="s">
        <v>118</v>
      </c>
      <c r="AD10" s="19" t="s">
        <v>114</v>
      </c>
    </row>
    <row r="11" spans="1:30" ht="18" x14ac:dyDescent="0.35">
      <c r="A11" s="79" t="s">
        <v>120</v>
      </c>
      <c r="B11" s="93" t="s">
        <v>121</v>
      </c>
      <c r="C11" s="23" t="s">
        <v>116</v>
      </c>
      <c r="D11" t="s">
        <v>116</v>
      </c>
      <c r="E11" t="s">
        <v>114</v>
      </c>
      <c r="F11" t="s">
        <v>115</v>
      </c>
      <c r="G11" t="s">
        <v>118</v>
      </c>
      <c r="H11" t="s">
        <v>118</v>
      </c>
      <c r="I11" s="19" t="s">
        <v>115</v>
      </c>
      <c r="J11" s="23" t="s">
        <v>115</v>
      </c>
      <c r="K11" t="s">
        <v>116</v>
      </c>
      <c r="L11" t="s">
        <v>114</v>
      </c>
      <c r="M11" t="s">
        <v>115</v>
      </c>
      <c r="N11" t="s">
        <v>118</v>
      </c>
      <c r="O11" t="s">
        <v>118</v>
      </c>
      <c r="P11" s="19" t="s">
        <v>116</v>
      </c>
      <c r="Q11" s="23" t="s">
        <v>115</v>
      </c>
      <c r="R11" t="s">
        <v>116</v>
      </c>
      <c r="S11" t="s">
        <v>113</v>
      </c>
      <c r="T11" t="s">
        <v>116</v>
      </c>
      <c r="U11" t="s">
        <v>118</v>
      </c>
      <c r="V11" t="s">
        <v>118</v>
      </c>
      <c r="W11" s="19" t="s">
        <v>114</v>
      </c>
      <c r="X11" s="23" t="s">
        <v>114</v>
      </c>
      <c r="Y11" t="s">
        <v>114</v>
      </c>
      <c r="Z11" t="s">
        <v>113</v>
      </c>
      <c r="AA11" t="s">
        <v>116</v>
      </c>
      <c r="AB11" t="s">
        <v>118</v>
      </c>
      <c r="AC11" t="s">
        <v>118</v>
      </c>
      <c r="AD11" s="19" t="s">
        <v>114</v>
      </c>
    </row>
    <row r="12" spans="1:30" ht="18" x14ac:dyDescent="0.35">
      <c r="A12" s="79" t="s">
        <v>120</v>
      </c>
      <c r="B12" s="93" t="s">
        <v>70</v>
      </c>
      <c r="C12" s="23" t="s">
        <v>114</v>
      </c>
      <c r="D12" t="s">
        <v>114</v>
      </c>
      <c r="E12" t="s">
        <v>114</v>
      </c>
      <c r="F12" t="s">
        <v>116</v>
      </c>
      <c r="G12" t="s">
        <v>118</v>
      </c>
      <c r="H12" t="s">
        <v>118</v>
      </c>
      <c r="I12" s="19" t="s">
        <v>115</v>
      </c>
      <c r="J12" s="23" t="s">
        <v>115</v>
      </c>
      <c r="K12" t="s">
        <v>116</v>
      </c>
      <c r="L12" t="s">
        <v>114</v>
      </c>
      <c r="M12" t="s">
        <v>115</v>
      </c>
      <c r="N12" t="s">
        <v>118</v>
      </c>
      <c r="O12" t="s">
        <v>118</v>
      </c>
      <c r="P12" s="19" t="s">
        <v>116</v>
      </c>
      <c r="Q12" s="23" t="s">
        <v>116</v>
      </c>
      <c r="R12" t="s">
        <v>116</v>
      </c>
      <c r="S12" t="s">
        <v>113</v>
      </c>
      <c r="T12" t="s">
        <v>116</v>
      </c>
      <c r="U12" t="s">
        <v>118</v>
      </c>
      <c r="V12" t="s">
        <v>118</v>
      </c>
      <c r="W12" s="19" t="s">
        <v>114</v>
      </c>
      <c r="X12" s="23" t="s">
        <v>113</v>
      </c>
      <c r="Y12" t="s">
        <v>114</v>
      </c>
      <c r="Z12" t="s">
        <v>113</v>
      </c>
      <c r="AA12" t="s">
        <v>114</v>
      </c>
      <c r="AB12" t="s">
        <v>118</v>
      </c>
      <c r="AC12" t="s">
        <v>118</v>
      </c>
      <c r="AD12" s="19" t="s">
        <v>114</v>
      </c>
    </row>
    <row r="13" spans="1:30" ht="18" x14ac:dyDescent="0.35">
      <c r="A13" s="79" t="s">
        <v>120</v>
      </c>
      <c r="B13" s="93" t="s">
        <v>223</v>
      </c>
      <c r="C13" s="23" t="s">
        <v>114</v>
      </c>
      <c r="D13" t="s">
        <v>114</v>
      </c>
      <c r="E13" t="s">
        <v>114</v>
      </c>
      <c r="F13" t="s">
        <v>116</v>
      </c>
      <c r="G13" t="s">
        <v>118</v>
      </c>
      <c r="H13" t="s">
        <v>118</v>
      </c>
      <c r="I13" s="19" t="s">
        <v>116</v>
      </c>
      <c r="J13" s="23" t="s">
        <v>115</v>
      </c>
      <c r="K13" t="s">
        <v>116</v>
      </c>
      <c r="L13" t="s">
        <v>114</v>
      </c>
      <c r="M13" t="s">
        <v>115</v>
      </c>
      <c r="N13" t="s">
        <v>118</v>
      </c>
      <c r="O13" t="s">
        <v>118</v>
      </c>
      <c r="P13" s="19" t="s">
        <v>116</v>
      </c>
      <c r="Q13" s="23" t="s">
        <v>114</v>
      </c>
      <c r="R13" t="s">
        <v>116</v>
      </c>
      <c r="S13" t="s">
        <v>113</v>
      </c>
      <c r="T13" t="s">
        <v>115</v>
      </c>
      <c r="U13" t="s">
        <v>118</v>
      </c>
      <c r="V13" t="s">
        <v>118</v>
      </c>
      <c r="W13" s="19" t="s">
        <v>114</v>
      </c>
      <c r="X13" s="23" t="s">
        <v>113</v>
      </c>
      <c r="Y13" t="s">
        <v>114</v>
      </c>
      <c r="Z13" t="s">
        <v>113</v>
      </c>
      <c r="AA13" t="s">
        <v>116</v>
      </c>
      <c r="AB13" t="s">
        <v>118</v>
      </c>
      <c r="AC13" t="s">
        <v>118</v>
      </c>
      <c r="AD13" s="19" t="s">
        <v>114</v>
      </c>
    </row>
    <row r="14" spans="1:30" ht="18" x14ac:dyDescent="0.35">
      <c r="A14" s="79" t="s">
        <v>120</v>
      </c>
      <c r="B14" s="93" t="s">
        <v>122</v>
      </c>
      <c r="C14" s="23" t="s">
        <v>115</v>
      </c>
      <c r="D14" t="s">
        <v>116</v>
      </c>
      <c r="E14" t="s">
        <v>114</v>
      </c>
      <c r="F14" t="s">
        <v>114</v>
      </c>
      <c r="G14" t="s">
        <v>118</v>
      </c>
      <c r="H14" t="s">
        <v>118</v>
      </c>
      <c r="I14" s="19" t="s">
        <v>114</v>
      </c>
      <c r="J14" s="23" t="s">
        <v>115</v>
      </c>
      <c r="K14" t="s">
        <v>115</v>
      </c>
      <c r="L14" t="s">
        <v>116</v>
      </c>
      <c r="M14" t="s">
        <v>116</v>
      </c>
      <c r="N14" t="s">
        <v>118</v>
      </c>
      <c r="O14" t="s">
        <v>118</v>
      </c>
      <c r="P14" s="19" t="s">
        <v>116</v>
      </c>
      <c r="Q14" s="23" t="s">
        <v>116</v>
      </c>
      <c r="R14" t="s">
        <v>116</v>
      </c>
      <c r="S14" t="s">
        <v>114</v>
      </c>
      <c r="T14" t="s">
        <v>114</v>
      </c>
      <c r="U14" t="s">
        <v>118</v>
      </c>
      <c r="V14" t="s">
        <v>118</v>
      </c>
      <c r="W14" s="19" t="s">
        <v>114</v>
      </c>
      <c r="X14" s="23" t="s">
        <v>114</v>
      </c>
      <c r="Y14" t="s">
        <v>114</v>
      </c>
      <c r="Z14" t="s">
        <v>114</v>
      </c>
      <c r="AA14" t="s">
        <v>113</v>
      </c>
      <c r="AB14" t="s">
        <v>118</v>
      </c>
      <c r="AC14" t="s">
        <v>118</v>
      </c>
      <c r="AD14" s="19" t="s">
        <v>113</v>
      </c>
    </row>
    <row r="15" spans="1:30" ht="18" x14ac:dyDescent="0.35">
      <c r="A15" s="79" t="s">
        <v>120</v>
      </c>
      <c r="B15" s="93" t="s">
        <v>224</v>
      </c>
      <c r="C15" s="23" t="s">
        <v>116</v>
      </c>
      <c r="D15" t="s">
        <v>114</v>
      </c>
      <c r="E15" t="s">
        <v>114</v>
      </c>
      <c r="F15" t="s">
        <v>116</v>
      </c>
      <c r="G15" t="s">
        <v>118</v>
      </c>
      <c r="H15" t="s">
        <v>118</v>
      </c>
      <c r="I15" s="19" t="s">
        <v>115</v>
      </c>
      <c r="J15" s="23" t="s">
        <v>116</v>
      </c>
      <c r="K15" t="s">
        <v>114</v>
      </c>
      <c r="L15" t="s">
        <v>114</v>
      </c>
      <c r="M15" t="s">
        <v>118</v>
      </c>
      <c r="N15" t="s">
        <v>118</v>
      </c>
      <c r="O15" t="s">
        <v>118</v>
      </c>
      <c r="P15" s="19" t="s">
        <v>115</v>
      </c>
      <c r="Q15" s="23" t="s">
        <v>114</v>
      </c>
      <c r="R15" t="s">
        <v>114</v>
      </c>
      <c r="S15" t="s">
        <v>113</v>
      </c>
      <c r="T15" t="s">
        <v>118</v>
      </c>
      <c r="U15" t="s">
        <v>118</v>
      </c>
      <c r="V15" t="s">
        <v>118</v>
      </c>
      <c r="W15" s="19" t="s">
        <v>115</v>
      </c>
      <c r="X15" s="23" t="s">
        <v>113</v>
      </c>
      <c r="Y15" t="s">
        <v>113</v>
      </c>
      <c r="Z15" t="s">
        <v>113</v>
      </c>
      <c r="AA15" t="s">
        <v>118</v>
      </c>
      <c r="AB15" t="s">
        <v>118</v>
      </c>
      <c r="AC15" t="s">
        <v>118</v>
      </c>
      <c r="AD15" s="19" t="s">
        <v>116</v>
      </c>
    </row>
    <row r="16" spans="1:30" ht="18" x14ac:dyDescent="0.35">
      <c r="A16" s="79" t="s">
        <v>120</v>
      </c>
      <c r="B16" s="93" t="s">
        <v>212</v>
      </c>
      <c r="C16" s="23" t="s">
        <v>114</v>
      </c>
      <c r="D16" t="s">
        <v>116</v>
      </c>
      <c r="E16" t="s">
        <v>114</v>
      </c>
      <c r="F16" t="s">
        <v>116</v>
      </c>
      <c r="G16" t="s">
        <v>118</v>
      </c>
      <c r="H16" t="s">
        <v>118</v>
      </c>
      <c r="I16" s="19" t="s">
        <v>115</v>
      </c>
      <c r="J16" s="23" t="s">
        <v>116</v>
      </c>
      <c r="K16" t="s">
        <v>116</v>
      </c>
      <c r="L16" t="s">
        <v>114</v>
      </c>
      <c r="M16" t="s">
        <v>116</v>
      </c>
      <c r="N16" t="s">
        <v>118</v>
      </c>
      <c r="O16" t="s">
        <v>118</v>
      </c>
      <c r="P16" s="19" t="s">
        <v>116</v>
      </c>
      <c r="Q16" s="23" t="s">
        <v>114</v>
      </c>
      <c r="R16" t="s">
        <v>116</v>
      </c>
      <c r="S16" t="s">
        <v>113</v>
      </c>
      <c r="T16" t="s">
        <v>114</v>
      </c>
      <c r="U16" t="s">
        <v>118</v>
      </c>
      <c r="V16" t="s">
        <v>118</v>
      </c>
      <c r="W16" s="19" t="s">
        <v>114</v>
      </c>
      <c r="X16" s="23" t="s">
        <v>113</v>
      </c>
      <c r="Y16" t="s">
        <v>114</v>
      </c>
      <c r="Z16" t="s">
        <v>113</v>
      </c>
      <c r="AA16" t="s">
        <v>113</v>
      </c>
      <c r="AB16" t="s">
        <v>118</v>
      </c>
      <c r="AC16" t="s">
        <v>118</v>
      </c>
      <c r="AD16" s="19" t="s">
        <v>114</v>
      </c>
    </row>
    <row r="17" spans="1:30" ht="18" x14ac:dyDescent="0.35">
      <c r="A17" s="79" t="s">
        <v>120</v>
      </c>
      <c r="B17" s="93" t="s">
        <v>74</v>
      </c>
      <c r="C17" s="23" t="s">
        <v>116</v>
      </c>
      <c r="D17" t="s">
        <v>114</v>
      </c>
      <c r="E17" t="s">
        <v>114</v>
      </c>
      <c r="F17" t="s">
        <v>118</v>
      </c>
      <c r="G17" t="s">
        <v>118</v>
      </c>
      <c r="H17" t="s">
        <v>118</v>
      </c>
      <c r="I17" s="19" t="s">
        <v>116</v>
      </c>
      <c r="J17" s="23" t="s">
        <v>115</v>
      </c>
      <c r="K17" t="s">
        <v>116</v>
      </c>
      <c r="L17" t="s">
        <v>116</v>
      </c>
      <c r="M17" t="s">
        <v>118</v>
      </c>
      <c r="N17" t="s">
        <v>118</v>
      </c>
      <c r="O17" t="s">
        <v>118</v>
      </c>
      <c r="P17" s="19" t="s">
        <v>116</v>
      </c>
      <c r="Q17" s="23" t="s">
        <v>116</v>
      </c>
      <c r="R17" t="s">
        <v>116</v>
      </c>
      <c r="S17" t="s">
        <v>114</v>
      </c>
      <c r="T17" t="s">
        <v>118</v>
      </c>
      <c r="U17" t="s">
        <v>118</v>
      </c>
      <c r="V17" t="s">
        <v>118</v>
      </c>
      <c r="W17" s="19" t="s">
        <v>114</v>
      </c>
      <c r="X17" s="23" t="s">
        <v>114</v>
      </c>
      <c r="Y17" t="s">
        <v>113</v>
      </c>
      <c r="Z17" t="s">
        <v>113</v>
      </c>
      <c r="AA17" t="s">
        <v>118</v>
      </c>
      <c r="AB17" t="s">
        <v>118</v>
      </c>
      <c r="AC17" t="s">
        <v>118</v>
      </c>
      <c r="AD17" s="19" t="s">
        <v>114</v>
      </c>
    </row>
    <row r="18" spans="1:30" ht="18" x14ac:dyDescent="0.35">
      <c r="A18" s="78" t="s">
        <v>46</v>
      </c>
      <c r="B18" s="73" t="s">
        <v>227</v>
      </c>
      <c r="C18" s="21" t="s">
        <v>116</v>
      </c>
      <c r="D18" s="50" t="s">
        <v>113</v>
      </c>
      <c r="E18" s="50" t="s">
        <v>113</v>
      </c>
      <c r="F18" s="50" t="s">
        <v>114</v>
      </c>
      <c r="G18" s="50" t="s">
        <v>118</v>
      </c>
      <c r="H18" s="50" t="s">
        <v>118</v>
      </c>
      <c r="I18" s="95" t="s">
        <v>114</v>
      </c>
      <c r="J18" s="21" t="s">
        <v>115</v>
      </c>
      <c r="K18" s="50" t="s">
        <v>114</v>
      </c>
      <c r="L18" s="50" t="s">
        <v>114</v>
      </c>
      <c r="M18" s="50" t="s">
        <v>116</v>
      </c>
      <c r="N18" s="50" t="s">
        <v>118</v>
      </c>
      <c r="O18" s="50" t="s">
        <v>118</v>
      </c>
      <c r="P18" s="95" t="s">
        <v>116</v>
      </c>
      <c r="Q18" s="21" t="s">
        <v>115</v>
      </c>
      <c r="R18" s="50" t="s">
        <v>114</v>
      </c>
      <c r="S18" s="50" t="s">
        <v>113</v>
      </c>
      <c r="T18" s="50" t="s">
        <v>114</v>
      </c>
      <c r="U18" s="50" t="s">
        <v>118</v>
      </c>
      <c r="V18" s="50" t="s">
        <v>118</v>
      </c>
      <c r="W18" s="95" t="s">
        <v>114</v>
      </c>
      <c r="X18" s="21" t="s">
        <v>116</v>
      </c>
      <c r="Y18" s="50" t="s">
        <v>114</v>
      </c>
      <c r="Z18" s="50" t="s">
        <v>113</v>
      </c>
      <c r="AA18" s="50" t="s">
        <v>113</v>
      </c>
      <c r="AB18" s="50" t="s">
        <v>118</v>
      </c>
      <c r="AC18" s="50" t="s">
        <v>118</v>
      </c>
      <c r="AD18" s="95" t="s">
        <v>113</v>
      </c>
    </row>
    <row r="19" spans="1:30" ht="18" x14ac:dyDescent="0.35">
      <c r="A19" s="79" t="s">
        <v>46</v>
      </c>
      <c r="B19" s="93" t="s">
        <v>226</v>
      </c>
      <c r="C19" s="23" t="s">
        <v>114</v>
      </c>
      <c r="D19" t="s">
        <v>113</v>
      </c>
      <c r="E19" t="s">
        <v>113</v>
      </c>
      <c r="F19" t="s">
        <v>115</v>
      </c>
      <c r="G19" t="s">
        <v>116</v>
      </c>
      <c r="H19" t="s">
        <v>116</v>
      </c>
      <c r="I19" s="19" t="s">
        <v>114</v>
      </c>
      <c r="J19" s="23" t="s">
        <v>115</v>
      </c>
      <c r="K19" t="s">
        <v>114</v>
      </c>
      <c r="L19" t="s">
        <v>114</v>
      </c>
      <c r="M19" t="s">
        <v>115</v>
      </c>
      <c r="N19" t="s">
        <v>116</v>
      </c>
      <c r="O19" t="s">
        <v>116</v>
      </c>
      <c r="P19" s="95" t="s">
        <v>116</v>
      </c>
      <c r="Q19" s="23" t="s">
        <v>115</v>
      </c>
      <c r="R19" t="s">
        <v>114</v>
      </c>
      <c r="S19" t="s">
        <v>113</v>
      </c>
      <c r="T19" t="s">
        <v>115</v>
      </c>
      <c r="U19" t="s">
        <v>114</v>
      </c>
      <c r="V19" t="s">
        <v>114</v>
      </c>
      <c r="W19" s="95" t="s">
        <v>114</v>
      </c>
      <c r="X19" s="23" t="s">
        <v>116</v>
      </c>
      <c r="Y19" t="s">
        <v>114</v>
      </c>
      <c r="Z19" t="s">
        <v>113</v>
      </c>
      <c r="AA19" t="s">
        <v>115</v>
      </c>
      <c r="AB19" t="s">
        <v>113</v>
      </c>
      <c r="AC19" t="s">
        <v>113</v>
      </c>
      <c r="AD19" s="95" t="s">
        <v>113</v>
      </c>
    </row>
    <row r="20" spans="1:30" ht="18" x14ac:dyDescent="0.35">
      <c r="A20" s="79" t="s">
        <v>46</v>
      </c>
      <c r="B20" s="93" t="s">
        <v>225</v>
      </c>
      <c r="C20" s="23" t="s">
        <v>115</v>
      </c>
      <c r="D20" t="s">
        <v>113</v>
      </c>
      <c r="E20" t="s">
        <v>113</v>
      </c>
      <c r="F20" t="s">
        <v>114</v>
      </c>
      <c r="G20" t="s">
        <v>118</v>
      </c>
      <c r="H20" t="s">
        <v>118</v>
      </c>
      <c r="I20" s="19" t="s">
        <v>114</v>
      </c>
      <c r="J20" s="23" t="s">
        <v>115</v>
      </c>
      <c r="K20" t="s">
        <v>114</v>
      </c>
      <c r="L20" t="s">
        <v>114</v>
      </c>
      <c r="M20" t="s">
        <v>116</v>
      </c>
      <c r="N20" t="s">
        <v>118</v>
      </c>
      <c r="O20" t="s">
        <v>118</v>
      </c>
      <c r="P20" s="95" t="s">
        <v>116</v>
      </c>
      <c r="Q20" s="23" t="s">
        <v>115</v>
      </c>
      <c r="R20" t="s">
        <v>114</v>
      </c>
      <c r="S20" t="s">
        <v>113</v>
      </c>
      <c r="T20" t="s">
        <v>114</v>
      </c>
      <c r="U20" t="s">
        <v>118</v>
      </c>
      <c r="V20" t="s">
        <v>118</v>
      </c>
      <c r="W20" s="95" t="s">
        <v>114</v>
      </c>
      <c r="X20" s="23" t="s">
        <v>114</v>
      </c>
      <c r="Y20" t="s">
        <v>114</v>
      </c>
      <c r="Z20" t="s">
        <v>113</v>
      </c>
      <c r="AA20" t="s">
        <v>113</v>
      </c>
      <c r="AB20" t="s">
        <v>118</v>
      </c>
      <c r="AC20" t="s">
        <v>118</v>
      </c>
      <c r="AD20" s="95" t="s">
        <v>113</v>
      </c>
    </row>
    <row r="21" spans="1:30" ht="18" x14ac:dyDescent="0.35">
      <c r="A21" s="79" t="s">
        <v>46</v>
      </c>
      <c r="B21" s="93" t="s">
        <v>79</v>
      </c>
      <c r="C21" s="23" t="s">
        <v>114</v>
      </c>
      <c r="D21" t="s">
        <v>113</v>
      </c>
      <c r="E21" t="s">
        <v>113</v>
      </c>
      <c r="F21" t="s">
        <v>115</v>
      </c>
      <c r="G21" t="s">
        <v>116</v>
      </c>
      <c r="H21" t="s">
        <v>116</v>
      </c>
      <c r="I21" s="19" t="s">
        <v>114</v>
      </c>
      <c r="J21" s="23" t="s">
        <v>116</v>
      </c>
      <c r="K21" t="s">
        <v>114</v>
      </c>
      <c r="L21" t="s">
        <v>114</v>
      </c>
      <c r="M21" t="s">
        <v>115</v>
      </c>
      <c r="N21" t="s">
        <v>115</v>
      </c>
      <c r="O21" t="s">
        <v>115</v>
      </c>
      <c r="P21" s="95" t="s">
        <v>116</v>
      </c>
      <c r="Q21" s="23" t="s">
        <v>114</v>
      </c>
      <c r="R21" t="s">
        <v>114</v>
      </c>
      <c r="S21" t="s">
        <v>113</v>
      </c>
      <c r="T21" t="s">
        <v>115</v>
      </c>
      <c r="U21" t="s">
        <v>114</v>
      </c>
      <c r="V21" t="s">
        <v>114</v>
      </c>
      <c r="W21" s="95" t="s">
        <v>114</v>
      </c>
      <c r="X21" s="23" t="s">
        <v>113</v>
      </c>
      <c r="Y21" t="s">
        <v>114</v>
      </c>
      <c r="Z21" t="s">
        <v>113</v>
      </c>
      <c r="AA21" t="s">
        <v>115</v>
      </c>
      <c r="AB21" t="s">
        <v>113</v>
      </c>
      <c r="AC21" t="s">
        <v>113</v>
      </c>
      <c r="AD21" s="95" t="s">
        <v>113</v>
      </c>
    </row>
    <row r="22" spans="1:30" ht="18" x14ac:dyDescent="0.35">
      <c r="A22" s="79" t="s">
        <v>46</v>
      </c>
      <c r="B22" s="93" t="s">
        <v>443</v>
      </c>
      <c r="C22" s="23" t="s">
        <v>114</v>
      </c>
      <c r="D22" t="s">
        <v>113</v>
      </c>
      <c r="E22" t="s">
        <v>113</v>
      </c>
      <c r="F22" t="s">
        <v>115</v>
      </c>
      <c r="G22" t="s">
        <v>118</v>
      </c>
      <c r="H22" t="s">
        <v>118</v>
      </c>
      <c r="I22" s="19" t="s">
        <v>115</v>
      </c>
      <c r="J22" s="23" t="s">
        <v>116</v>
      </c>
      <c r="K22" t="s">
        <v>114</v>
      </c>
      <c r="L22" t="s">
        <v>114</v>
      </c>
      <c r="M22" t="s">
        <v>115</v>
      </c>
      <c r="N22" t="s">
        <v>118</v>
      </c>
      <c r="O22" t="s">
        <v>118</v>
      </c>
      <c r="P22" s="19" t="s">
        <v>116</v>
      </c>
      <c r="Q22" s="23" t="s">
        <v>114</v>
      </c>
      <c r="R22" t="s">
        <v>114</v>
      </c>
      <c r="S22" t="s">
        <v>113</v>
      </c>
      <c r="T22" t="s">
        <v>116</v>
      </c>
      <c r="U22" t="s">
        <v>118</v>
      </c>
      <c r="V22" t="s">
        <v>118</v>
      </c>
      <c r="W22" s="19" t="s">
        <v>116</v>
      </c>
      <c r="X22" s="23" t="s">
        <v>114</v>
      </c>
      <c r="Y22" t="s">
        <v>114</v>
      </c>
      <c r="Z22" t="s">
        <v>113</v>
      </c>
      <c r="AA22" t="s">
        <v>114</v>
      </c>
      <c r="AB22" t="s">
        <v>118</v>
      </c>
      <c r="AC22" t="s">
        <v>118</v>
      </c>
      <c r="AD22" s="19" t="s">
        <v>116</v>
      </c>
    </row>
    <row r="23" spans="1:30" ht="18" x14ac:dyDescent="0.35">
      <c r="A23" s="79" t="s">
        <v>46</v>
      </c>
      <c r="B23" s="93" t="s">
        <v>222</v>
      </c>
      <c r="C23" s="23" t="s">
        <v>115</v>
      </c>
      <c r="D23" t="s">
        <v>113</v>
      </c>
      <c r="E23" t="s">
        <v>113</v>
      </c>
      <c r="F23" t="s">
        <v>116</v>
      </c>
      <c r="G23" t="s">
        <v>115</v>
      </c>
      <c r="H23" t="s">
        <v>115</v>
      </c>
      <c r="I23" s="19" t="s">
        <v>115</v>
      </c>
      <c r="J23" s="23" t="s">
        <v>116</v>
      </c>
      <c r="K23" t="s">
        <v>114</v>
      </c>
      <c r="L23" t="s">
        <v>114</v>
      </c>
      <c r="M23" t="s">
        <v>115</v>
      </c>
      <c r="N23" t="s">
        <v>115</v>
      </c>
      <c r="O23" t="s">
        <v>115</v>
      </c>
      <c r="P23" s="19" t="s">
        <v>116</v>
      </c>
      <c r="Q23" s="23" t="s">
        <v>116</v>
      </c>
      <c r="R23" t="s">
        <v>114</v>
      </c>
      <c r="S23" t="s">
        <v>113</v>
      </c>
      <c r="T23" t="s">
        <v>115</v>
      </c>
      <c r="U23" t="s">
        <v>116</v>
      </c>
      <c r="V23" t="s">
        <v>115</v>
      </c>
      <c r="W23" s="19" t="s">
        <v>116</v>
      </c>
      <c r="X23" s="23" t="s">
        <v>116</v>
      </c>
      <c r="Y23" t="s">
        <v>114</v>
      </c>
      <c r="Z23" t="s">
        <v>113</v>
      </c>
      <c r="AA23" t="s">
        <v>115</v>
      </c>
      <c r="AB23" t="s">
        <v>116</v>
      </c>
      <c r="AC23" t="s">
        <v>116</v>
      </c>
      <c r="AD23" s="19" t="s">
        <v>116</v>
      </c>
    </row>
    <row r="24" spans="1:30" ht="18" x14ac:dyDescent="0.35">
      <c r="A24" s="79" t="s">
        <v>46</v>
      </c>
      <c r="B24" s="93" t="s">
        <v>221</v>
      </c>
      <c r="C24" s="23" t="s">
        <v>116</v>
      </c>
      <c r="D24" t="s">
        <v>116</v>
      </c>
      <c r="E24" t="s">
        <v>114</v>
      </c>
      <c r="F24" t="s">
        <v>116</v>
      </c>
      <c r="G24" t="s">
        <v>118</v>
      </c>
      <c r="H24" t="s">
        <v>118</v>
      </c>
      <c r="I24" s="19" t="s">
        <v>116</v>
      </c>
      <c r="J24" s="23" t="s">
        <v>116</v>
      </c>
      <c r="K24" t="s">
        <v>115</v>
      </c>
      <c r="L24" t="s">
        <v>116</v>
      </c>
      <c r="M24" t="s">
        <v>116</v>
      </c>
      <c r="N24" t="s">
        <v>118</v>
      </c>
      <c r="O24" t="s">
        <v>118</v>
      </c>
      <c r="P24" s="19" t="s">
        <v>116</v>
      </c>
      <c r="Q24" s="23" t="s">
        <v>114</v>
      </c>
      <c r="R24" t="s">
        <v>116</v>
      </c>
      <c r="S24" t="s">
        <v>114</v>
      </c>
      <c r="T24" t="s">
        <v>114</v>
      </c>
      <c r="U24" t="s">
        <v>118</v>
      </c>
      <c r="V24" t="s">
        <v>118</v>
      </c>
      <c r="W24" s="19" t="s">
        <v>114</v>
      </c>
      <c r="X24" s="23" t="s">
        <v>114</v>
      </c>
      <c r="Y24" t="s">
        <v>114</v>
      </c>
      <c r="Z24" t="s">
        <v>113</v>
      </c>
      <c r="AA24" t="s">
        <v>113</v>
      </c>
      <c r="AB24" t="s">
        <v>118</v>
      </c>
      <c r="AC24" t="s">
        <v>118</v>
      </c>
      <c r="AD24" s="19" t="s">
        <v>113</v>
      </c>
    </row>
    <row r="25" spans="1:30" ht="18" x14ac:dyDescent="0.35">
      <c r="A25" s="104" t="s">
        <v>46</v>
      </c>
      <c r="B25" s="105" t="s">
        <v>219</v>
      </c>
      <c r="C25" s="23" t="s">
        <v>116</v>
      </c>
      <c r="D25" t="s">
        <v>114</v>
      </c>
      <c r="E25" t="s">
        <v>114</v>
      </c>
      <c r="F25" t="s">
        <v>116</v>
      </c>
      <c r="G25" t="s">
        <v>116</v>
      </c>
      <c r="H25" t="s">
        <v>115</v>
      </c>
      <c r="I25" s="19" t="s">
        <v>116</v>
      </c>
      <c r="J25" s="23" t="s">
        <v>116</v>
      </c>
      <c r="K25" t="s">
        <v>115</v>
      </c>
      <c r="L25" t="s">
        <v>116</v>
      </c>
      <c r="M25" t="s">
        <v>115</v>
      </c>
      <c r="N25" t="s">
        <v>116</v>
      </c>
      <c r="O25" t="s">
        <v>115</v>
      </c>
      <c r="P25" s="19" t="s">
        <v>116</v>
      </c>
      <c r="Q25" s="23" t="s">
        <v>114</v>
      </c>
      <c r="R25" t="s">
        <v>116</v>
      </c>
      <c r="S25" t="s">
        <v>114</v>
      </c>
      <c r="T25" t="s">
        <v>115</v>
      </c>
      <c r="U25" t="s">
        <v>114</v>
      </c>
      <c r="V25" t="s">
        <v>116</v>
      </c>
      <c r="W25" s="19" t="s">
        <v>114</v>
      </c>
      <c r="X25" s="23" t="s">
        <v>114</v>
      </c>
      <c r="Y25" t="s">
        <v>114</v>
      </c>
      <c r="Z25" t="s">
        <v>113</v>
      </c>
      <c r="AA25" t="s">
        <v>114</v>
      </c>
      <c r="AB25" t="s">
        <v>113</v>
      </c>
      <c r="AC25" t="s">
        <v>114</v>
      </c>
      <c r="AD25" s="19" t="s">
        <v>113</v>
      </c>
    </row>
    <row r="26" spans="1:30" ht="18" x14ac:dyDescent="0.35">
      <c r="A26" s="94" t="s">
        <v>46</v>
      </c>
      <c r="B26" s="93" t="s">
        <v>217</v>
      </c>
      <c r="C26" s="103" t="s">
        <v>116</v>
      </c>
      <c r="D26" s="17" t="s">
        <v>116</v>
      </c>
      <c r="E26" s="17" t="s">
        <v>114</v>
      </c>
      <c r="F26" s="17" t="s">
        <v>116</v>
      </c>
      <c r="G26" s="17" t="s">
        <v>118</v>
      </c>
      <c r="H26" s="17" t="s">
        <v>118</v>
      </c>
      <c r="I26" s="97" t="s">
        <v>114</v>
      </c>
      <c r="J26" s="103" t="s">
        <v>115</v>
      </c>
      <c r="K26" s="17" t="s">
        <v>114</v>
      </c>
      <c r="L26" s="17" t="s">
        <v>116</v>
      </c>
      <c r="M26" s="17" t="s">
        <v>116</v>
      </c>
      <c r="N26" s="17" t="s">
        <v>118</v>
      </c>
      <c r="O26" s="17" t="s">
        <v>115</v>
      </c>
      <c r="P26" s="97" t="s">
        <v>116</v>
      </c>
      <c r="Q26" s="103" t="s">
        <v>114</v>
      </c>
      <c r="R26" s="17" t="s">
        <v>114</v>
      </c>
      <c r="S26" s="17" t="s">
        <v>114</v>
      </c>
      <c r="T26" s="17" t="s">
        <v>114</v>
      </c>
      <c r="U26" s="17" t="s">
        <v>118</v>
      </c>
      <c r="V26" s="17" t="s">
        <v>114</v>
      </c>
      <c r="W26" s="97" t="s">
        <v>114</v>
      </c>
      <c r="X26" s="103" t="s">
        <v>114</v>
      </c>
      <c r="Y26" s="17" t="s">
        <v>114</v>
      </c>
      <c r="Z26" s="17" t="s">
        <v>113</v>
      </c>
      <c r="AA26" s="17" t="s">
        <v>114</v>
      </c>
      <c r="AB26" s="17" t="s">
        <v>118</v>
      </c>
      <c r="AC26" s="17" t="s">
        <v>114</v>
      </c>
      <c r="AD26" s="19" t="s">
        <v>113</v>
      </c>
    </row>
    <row r="27" spans="1:30" ht="18" x14ac:dyDescent="0.35">
      <c r="A27" s="92"/>
      <c r="B27" s="22"/>
    </row>
    <row r="28" spans="1:30" ht="20" x14ac:dyDescent="0.35">
      <c r="A28" s="118" t="s">
        <v>123</v>
      </c>
      <c r="B28" s="116"/>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row>
    <row r="29" spans="1:30" ht="20" x14ac:dyDescent="0.35">
      <c r="A29" s="62" t="s">
        <v>84</v>
      </c>
      <c r="B29" s="61"/>
      <c r="C29" s="568" t="s">
        <v>85</v>
      </c>
      <c r="D29" s="568"/>
      <c r="E29" s="568"/>
      <c r="F29" s="568"/>
      <c r="G29" s="568"/>
      <c r="H29" s="568"/>
      <c r="I29" s="568"/>
      <c r="J29" s="569" t="s">
        <v>86</v>
      </c>
      <c r="K29" s="569"/>
      <c r="L29" s="569"/>
      <c r="M29" s="569"/>
      <c r="N29" s="569"/>
      <c r="O29" s="569"/>
      <c r="P29" s="569"/>
      <c r="Q29" s="569" t="s">
        <v>87</v>
      </c>
      <c r="R29" s="569"/>
      <c r="S29" s="569"/>
      <c r="T29" s="569"/>
      <c r="U29" s="569"/>
      <c r="V29" s="569"/>
      <c r="W29" s="569"/>
      <c r="X29" s="569" t="s">
        <v>88</v>
      </c>
      <c r="Y29" s="569"/>
      <c r="Z29" s="569"/>
      <c r="AA29" s="569"/>
      <c r="AB29" s="569"/>
      <c r="AC29" s="569"/>
      <c r="AD29" s="569"/>
    </row>
    <row r="30" spans="1:30" ht="18" x14ac:dyDescent="0.35">
      <c r="A30" s="80" t="s">
        <v>89</v>
      </c>
      <c r="B30" s="80" t="s">
        <v>90</v>
      </c>
      <c r="C30" s="81" t="s">
        <v>91</v>
      </c>
      <c r="D30" s="81" t="s">
        <v>92</v>
      </c>
      <c r="E30" s="81" t="s">
        <v>93</v>
      </c>
      <c r="F30" s="81" t="s">
        <v>94</v>
      </c>
      <c r="G30" s="81" t="s">
        <v>450</v>
      </c>
      <c r="H30" s="81" t="s">
        <v>95</v>
      </c>
      <c r="I30" s="81" t="s">
        <v>441</v>
      </c>
      <c r="J30" s="81" t="s">
        <v>96</v>
      </c>
      <c r="K30" s="81" t="s">
        <v>97</v>
      </c>
      <c r="L30" s="81" t="s">
        <v>98</v>
      </c>
      <c r="M30" s="81" t="s">
        <v>99</v>
      </c>
      <c r="N30" s="81" t="s">
        <v>451</v>
      </c>
      <c r="O30" s="81" t="s">
        <v>100</v>
      </c>
      <c r="P30" s="81" t="s">
        <v>452</v>
      </c>
      <c r="Q30" s="81" t="s">
        <v>101</v>
      </c>
      <c r="R30" s="81" t="s">
        <v>102</v>
      </c>
      <c r="S30" s="81" t="s">
        <v>103</v>
      </c>
      <c r="T30" s="81" t="s">
        <v>104</v>
      </c>
      <c r="U30" s="81" t="s">
        <v>453</v>
      </c>
      <c r="V30" s="81" t="s">
        <v>105</v>
      </c>
      <c r="W30" s="81" t="s">
        <v>454</v>
      </c>
      <c r="X30" s="81" t="s">
        <v>106</v>
      </c>
      <c r="Y30" s="81" t="s">
        <v>107</v>
      </c>
      <c r="Z30" s="81" t="s">
        <v>108</v>
      </c>
      <c r="AA30" s="81" t="s">
        <v>109</v>
      </c>
      <c r="AB30" s="81" t="s">
        <v>455</v>
      </c>
      <c r="AC30" s="81" t="s">
        <v>110</v>
      </c>
      <c r="AD30" s="81" t="s">
        <v>456</v>
      </c>
    </row>
    <row r="31" spans="1:30" ht="18" x14ac:dyDescent="0.35">
      <c r="A31" s="76" t="s">
        <v>111</v>
      </c>
      <c r="B31" s="161" t="str">
        <f t="shared" ref="B31:B44" si="0">B4</f>
        <v>Coastal / Marine Ecosystems</v>
      </c>
      <c r="C31" s="21"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E</v>
      </c>
      <c r="D31" s="50" t="str" cm="1">
        <f t="array" ref="D31">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H</v>
      </c>
      <c r="E31" s="50" t="str" cm="1">
        <f t="array" ref="E31">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E</v>
      </c>
      <c r="F31" s="50" t="str" cm="1">
        <f t="array" ref="F31">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L</v>
      </c>
      <c r="G31" s="50" t="str" cm="1">
        <f t="array" ref="G31">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E</v>
      </c>
      <c r="H31" s="50" t="str" cm="1">
        <f t="array" ref="H31">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E</v>
      </c>
      <c r="I31" s="95"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H</v>
      </c>
      <c r="J31"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M</v>
      </c>
      <c r="K31"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L</v>
      </c>
      <c r="L31"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31"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L</v>
      </c>
      <c r="N31"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H</v>
      </c>
      <c r="O31"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H</v>
      </c>
      <c r="P31"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H</v>
      </c>
      <c r="Q31" s="21" t="str" cm="1">
        <f t="array" ref="Q31">_xlfn.SWITCH(Q89,4,"E",3,"H",2,"M",1,"L","N/A")</f>
        <v>H</v>
      </c>
      <c r="R31" s="21" t="str" cm="1">
        <f t="array" ref="R31">_xlfn.SWITCH(R89,4,"E",3,"H",2,"M",1,"L","N/A")</f>
        <v>L</v>
      </c>
      <c r="S31" s="21" t="str" cm="1">
        <f t="array" ref="S31">_xlfn.SWITCH(S89,4,"E",3,"H",2,"M",1,"L","N/A")</f>
        <v>E</v>
      </c>
      <c r="T31" s="21" t="str" cm="1">
        <f t="array" ref="T31">_xlfn.SWITCH(T89,4,"E",3,"H",2,"M",1,"L","N/A")</f>
        <v>L</v>
      </c>
      <c r="U31" s="21" t="str" cm="1">
        <f t="array" ref="U31">_xlfn.SWITCH(U89,4,"E",3,"H",2,"M",1,"L","N/A")</f>
        <v>E</v>
      </c>
      <c r="V31" s="21" t="str" cm="1">
        <f t="array" ref="V31">_xlfn.SWITCH(V89,4,"E",3,"H",2,"M",1,"L","N/A")</f>
        <v>H</v>
      </c>
      <c r="W31" s="21" t="str" cm="1">
        <f t="array" ref="W31">_xlfn.SWITCH(W89,4,"E",3,"H",2,"M",1,"L","N/A")</f>
        <v>E</v>
      </c>
      <c r="X31" s="21" t="str" cm="1">
        <f t="array" ref="X31">_xlfn.SWITCH(X89,4,"E",3,"H",2,"M",1,"L","N/A")</f>
        <v>E</v>
      </c>
      <c r="Y31" s="21" t="str" cm="1">
        <f t="array" ref="Y31">_xlfn.SWITCH(Y89,4,"E",3,"H",2,"M",1,"L","N/A")</f>
        <v>M</v>
      </c>
      <c r="Z31" s="21" t="str" cm="1">
        <f t="array" ref="Z31">_xlfn.SWITCH(Z89,4,"E",3,"H",2,"M",1,"L","N/A")</f>
        <v>E</v>
      </c>
      <c r="AA31" s="21" t="str" cm="1">
        <f t="array" ref="AA31">_xlfn.SWITCH(AA89,4,"E",3,"H",2,"M",1,"L","N/A")</f>
        <v>L</v>
      </c>
      <c r="AB31" s="21" t="str" cm="1">
        <f t="array" ref="AB31">_xlfn.SWITCH(AB89,4,"E",3,"H",2,"M",1,"L","N/A")</f>
        <v>E</v>
      </c>
      <c r="AC31" s="21" t="str" cm="1">
        <f t="array" ref="AC31">_xlfn.SWITCH(AC89,4,"E",3,"H",2,"M",1,"L","N/A")</f>
        <v>E</v>
      </c>
      <c r="AD31" s="21" t="str" cm="1">
        <f t="array" ref="AD31">_xlfn.SWITCH(AD89,4,"E",3,"H",2,"M",1,"L","N/A")</f>
        <v>E</v>
      </c>
    </row>
    <row r="32" spans="1:30" ht="18" x14ac:dyDescent="0.35">
      <c r="A32" s="75" t="s">
        <v>111</v>
      </c>
      <c r="B32" s="162" t="str">
        <f t="shared" si="0"/>
        <v>Terrestrial Ecosystems</v>
      </c>
      <c r="C32"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L</v>
      </c>
      <c r="D32" t="str" cm="1">
        <f t="array" ref="D32">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E</v>
      </c>
      <c r="E32" t="str" cm="1">
        <f t="array" ref="E32">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E</v>
      </c>
      <c r="F32" t="str" cm="1">
        <f t="array" ref="F32">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E</v>
      </c>
      <c r="G32" t="str" cm="1">
        <f t="array" ref="G32">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32" t="str" cm="1">
        <f t="array" ref="H32">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32"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H</v>
      </c>
      <c r="J32"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L</v>
      </c>
      <c r="K32"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M</v>
      </c>
      <c r="L32"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32"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L</v>
      </c>
      <c r="N32"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32"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32"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H</v>
      </c>
      <c r="Q32" s="21" t="str" cm="1">
        <f t="array" ref="Q32">_xlfn.SWITCH(Q90,4,"E",3,"H",2,"M",1,"L","N/A")</f>
        <v>M</v>
      </c>
      <c r="R32" s="21" t="str" cm="1">
        <f t="array" ref="R32">_xlfn.SWITCH(R90,4,"E",3,"H",2,"M",1,"L","N/A")</f>
        <v>H</v>
      </c>
      <c r="S32" s="21" t="str" cm="1">
        <f t="array" ref="S32">_xlfn.SWITCH(S90,4,"E",3,"H",2,"M",1,"L","N/A")</f>
        <v>E</v>
      </c>
      <c r="T32" s="21" t="str" cm="1">
        <f t="array" ref="T32">_xlfn.SWITCH(T90,4,"E",3,"H",2,"M",1,"L","N/A")</f>
        <v>M</v>
      </c>
      <c r="U32" s="21" t="str" cm="1">
        <f t="array" ref="U32">_xlfn.SWITCH(U90,4,"E",3,"H",2,"M",1,"L","N/A")</f>
        <v>N/A</v>
      </c>
      <c r="V32" s="21" t="str" cm="1">
        <f t="array" ref="V32">_xlfn.SWITCH(V90,4,"E",3,"H",2,"M",1,"L","N/A")</f>
        <v>N/A</v>
      </c>
      <c r="W32" s="21" t="str" cm="1">
        <f t="array" ref="W32">_xlfn.SWITCH(W90,4,"E",3,"H",2,"M",1,"L","N/A")</f>
        <v>E</v>
      </c>
      <c r="X32" s="21" t="str" cm="1">
        <f t="array" ref="X32">_xlfn.SWITCH(X90,4,"E",3,"H",2,"M",1,"L","N/A")</f>
        <v>H</v>
      </c>
      <c r="Y32" s="21" t="str" cm="1">
        <f t="array" ref="Y32">_xlfn.SWITCH(Y90,4,"E",3,"H",2,"M",1,"L","N/A")</f>
        <v>E</v>
      </c>
      <c r="Z32" s="21" t="str" cm="1">
        <f t="array" ref="Z32">_xlfn.SWITCH(Z90,4,"E",3,"H",2,"M",1,"L","N/A")</f>
        <v>E</v>
      </c>
      <c r="AA32" s="21" t="str" cm="1">
        <f t="array" ref="AA32">_xlfn.SWITCH(AA90,4,"E",3,"H",2,"M",1,"L","N/A")</f>
        <v>E</v>
      </c>
      <c r="AB32" s="21" t="str" cm="1">
        <f t="array" ref="AB32">_xlfn.SWITCH(AB90,4,"E",3,"H",2,"M",1,"L","N/A")</f>
        <v>N/A</v>
      </c>
      <c r="AC32" s="21" t="str" cm="1">
        <f t="array" ref="AC32">_xlfn.SWITCH(AC90,4,"E",3,"H",2,"M",1,"L","N/A")</f>
        <v>N/A</v>
      </c>
      <c r="AD32" s="21" t="str" cm="1">
        <f t="array" ref="AD32">_xlfn.SWITCH(AD90,4,"E",3,"H",2,"M",1,"L","N/A")</f>
        <v>E</v>
      </c>
    </row>
    <row r="33" spans="1:30" ht="18" x14ac:dyDescent="0.35">
      <c r="A33" s="96" t="s">
        <v>111</v>
      </c>
      <c r="B33" s="163" t="str">
        <f t="shared" si="0"/>
        <v>Freshwater Ecosystems</v>
      </c>
      <c r="C33"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H</v>
      </c>
      <c r="D33" t="str" cm="1">
        <f t="array" ref="D33">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E</v>
      </c>
      <c r="E33" t="str" cm="1">
        <f t="array" ref="E33">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E</v>
      </c>
      <c r="F33" t="str" cm="1">
        <f t="array" ref="F33">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H</v>
      </c>
      <c r="G33" t="str" cm="1">
        <f t="array" ref="G33">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33" t="str" cm="1">
        <f t="array" ref="H33">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33"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H</v>
      </c>
      <c r="J33"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L</v>
      </c>
      <c r="K33"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M</v>
      </c>
      <c r="L33"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33"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M</v>
      </c>
      <c r="N33"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33"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33"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H</v>
      </c>
      <c r="Q33" s="21" t="str" cm="1">
        <f t="array" ref="Q33">_xlfn.SWITCH(Q91,4,"E",3,"H",2,"M",1,"L","N/A")</f>
        <v>H</v>
      </c>
      <c r="R33" s="21" t="str" cm="1">
        <f t="array" ref="R33">_xlfn.SWITCH(R91,4,"E",3,"H",2,"M",1,"L","N/A")</f>
        <v>H</v>
      </c>
      <c r="S33" s="21" t="str" cm="1">
        <f t="array" ref="S33">_xlfn.SWITCH(S91,4,"E",3,"H",2,"M",1,"L","N/A")</f>
        <v>E</v>
      </c>
      <c r="T33" s="21" t="str" cm="1">
        <f t="array" ref="T33">_xlfn.SWITCH(T91,4,"E",3,"H",2,"M",1,"L","N/A")</f>
        <v>H</v>
      </c>
      <c r="U33" s="21" t="str" cm="1">
        <f t="array" ref="U33">_xlfn.SWITCH(U91,4,"E",3,"H",2,"M",1,"L","N/A")</f>
        <v>N/A</v>
      </c>
      <c r="V33" s="21" t="str" cm="1">
        <f t="array" ref="V33">_xlfn.SWITCH(V91,4,"E",3,"H",2,"M",1,"L","N/A")</f>
        <v>N/A</v>
      </c>
      <c r="W33" s="21" t="str" cm="1">
        <f t="array" ref="W33">_xlfn.SWITCH(W91,4,"E",3,"H",2,"M",1,"L","N/A")</f>
        <v>E</v>
      </c>
      <c r="X33" s="21" t="str" cm="1">
        <f t="array" ref="X33">_xlfn.SWITCH(X91,4,"E",3,"H",2,"M",1,"L","N/A")</f>
        <v>H</v>
      </c>
      <c r="Y33" s="21" t="str" cm="1">
        <f t="array" ref="Y33">_xlfn.SWITCH(Y91,4,"E",3,"H",2,"M",1,"L","N/A")</f>
        <v>H</v>
      </c>
      <c r="Z33" s="21" t="str" cm="1">
        <f t="array" ref="Z33">_xlfn.SWITCH(Z91,4,"E",3,"H",2,"M",1,"L","N/A")</f>
        <v>E</v>
      </c>
      <c r="AA33" s="21" t="str" cm="1">
        <f t="array" ref="AA33">_xlfn.SWITCH(AA91,4,"E",3,"H",2,"M",1,"L","N/A")</f>
        <v>E</v>
      </c>
      <c r="AB33" s="21" t="str" cm="1">
        <f t="array" ref="AB33">_xlfn.SWITCH(AB91,4,"E",3,"H",2,"M",1,"L","N/A")</f>
        <v>N/A</v>
      </c>
      <c r="AC33" s="21" t="str" cm="1">
        <f t="array" ref="AC33">_xlfn.SWITCH(AC91,4,"E",3,"H",2,"M",1,"L","N/A")</f>
        <v>N/A</v>
      </c>
      <c r="AD33" s="21" t="str" cm="1">
        <f t="array" ref="AD33">_xlfn.SWITCH(AD91,4,"E",3,"H",2,"M",1,"L","N/A")</f>
        <v>E</v>
      </c>
    </row>
    <row r="34" spans="1:30" ht="18" x14ac:dyDescent="0.35">
      <c r="A34" s="78" t="s">
        <v>120</v>
      </c>
      <c r="B34" s="161" t="str">
        <f t="shared" si="0"/>
        <v>Inhabited Buildings</v>
      </c>
      <c r="C34"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H</v>
      </c>
      <c r="D34" t="str" cm="1">
        <f t="array" ref="D34">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M</v>
      </c>
      <c r="E34" t="str" cm="1">
        <f t="array" ref="E34">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34" t="str" cm="1">
        <f t="array" ref="F34">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M</v>
      </c>
      <c r="G34" t="str" cm="1">
        <f t="array" ref="G34">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34" t="str" cm="1">
        <f t="array" ref="H34">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34"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M</v>
      </c>
      <c r="J34"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M</v>
      </c>
      <c r="K34"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M</v>
      </c>
      <c r="L34"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34"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M</v>
      </c>
      <c r="N34"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34"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34"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34" s="21" t="str" cm="1">
        <f t="array" ref="Q34">_xlfn.SWITCH(Q92,4,"E",3,"H",2,"M",1,"L","N/A")</f>
        <v>H</v>
      </c>
      <c r="R34" s="21" t="str" cm="1">
        <f t="array" ref="R34">_xlfn.SWITCH(R92,4,"E",3,"H",2,"M",1,"L","N/A")</f>
        <v>M</v>
      </c>
      <c r="S34" s="21" t="str" cm="1">
        <f t="array" ref="S34">_xlfn.SWITCH(S92,4,"E",3,"H",2,"M",1,"L","N/A")</f>
        <v>E</v>
      </c>
      <c r="T34" s="21" t="str" cm="1">
        <f t="array" ref="T34">_xlfn.SWITCH(T92,4,"E",3,"H",2,"M",1,"L","N/A")</f>
        <v>H</v>
      </c>
      <c r="U34" s="21" t="str" cm="1">
        <f t="array" ref="U34">_xlfn.SWITCH(U92,4,"E",3,"H",2,"M",1,"L","N/A")</f>
        <v>N/A</v>
      </c>
      <c r="V34" s="21" t="str" cm="1">
        <f t="array" ref="V34">_xlfn.SWITCH(V92,4,"E",3,"H",2,"M",1,"L","N/A")</f>
        <v>N/A</v>
      </c>
      <c r="W34" s="21" t="str" cm="1">
        <f t="array" ref="W34">_xlfn.SWITCH(W92,4,"E",3,"H",2,"M",1,"L","N/A")</f>
        <v>H</v>
      </c>
      <c r="X34" s="21" t="str" cm="1">
        <f t="array" ref="X34">_xlfn.SWITCH(X92,4,"E",3,"H",2,"M",1,"L","N/A")</f>
        <v>E</v>
      </c>
      <c r="Y34" s="21" t="str" cm="1">
        <f t="array" ref="Y34">_xlfn.SWITCH(Y92,4,"E",3,"H",2,"M",1,"L","N/A")</f>
        <v>H</v>
      </c>
      <c r="Z34" s="21" t="str" cm="1">
        <f t="array" ref="Z34">_xlfn.SWITCH(Z92,4,"E",3,"H",2,"M",1,"L","N/A")</f>
        <v>E</v>
      </c>
      <c r="AA34" s="21" t="str" cm="1">
        <f t="array" ref="AA34">_xlfn.SWITCH(AA92,4,"E",3,"H",2,"M",1,"L","N/A")</f>
        <v>E</v>
      </c>
      <c r="AB34" s="21" t="str" cm="1">
        <f t="array" ref="AB34">_xlfn.SWITCH(AB92,4,"E",3,"H",2,"M",1,"L","N/A")</f>
        <v>N/A</v>
      </c>
      <c r="AC34" s="21" t="str" cm="1">
        <f t="array" ref="AC34">_xlfn.SWITCH(AC92,4,"E",3,"H",2,"M",1,"L","N/A")</f>
        <v>N/A</v>
      </c>
      <c r="AD34" s="21" t="str" cm="1">
        <f t="array" ref="AD34">_xlfn.SWITCH(AD92,4,"E",3,"H",2,"M",1,"L","N/A")</f>
        <v>E</v>
      </c>
    </row>
    <row r="35" spans="1:30" ht="18" x14ac:dyDescent="0.35">
      <c r="A35" s="79" t="s">
        <v>120</v>
      </c>
      <c r="B35" s="162" t="str">
        <f t="shared" si="0"/>
        <v>Ports / Wharves</v>
      </c>
      <c r="C35"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H</v>
      </c>
      <c r="D35" t="str" cm="1">
        <f t="array" ref="D35">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M</v>
      </c>
      <c r="E35" t="str" cm="1">
        <f t="array" ref="E35">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35" t="str" cm="1">
        <f t="array" ref="F35">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M</v>
      </c>
      <c r="G35" t="str" cm="1">
        <f t="array" ref="G35">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35" t="str" cm="1">
        <f t="array" ref="H35">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L</v>
      </c>
      <c r="I35"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L</v>
      </c>
      <c r="J35"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M</v>
      </c>
      <c r="K35"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M</v>
      </c>
      <c r="L35"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35"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L</v>
      </c>
      <c r="N35"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35"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M</v>
      </c>
      <c r="P35"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35" s="21" t="str" cm="1">
        <f t="array" ref="Q35">_xlfn.SWITCH(Q93,4,"E",3,"H",2,"M",1,"L","N/A")</f>
        <v>H</v>
      </c>
      <c r="R35" s="21" t="str" cm="1">
        <f t="array" ref="R35">_xlfn.SWITCH(R93,4,"E",3,"H",2,"M",1,"L","N/A")</f>
        <v>M</v>
      </c>
      <c r="S35" s="21" t="str" cm="1">
        <f t="array" ref="S35">_xlfn.SWITCH(S93,4,"E",3,"H",2,"M",1,"L","N/A")</f>
        <v>E</v>
      </c>
      <c r="T35" s="21" t="str" cm="1">
        <f t="array" ref="T35">_xlfn.SWITCH(T93,4,"E",3,"H",2,"M",1,"L","N/A")</f>
        <v>M</v>
      </c>
      <c r="U35" s="21" t="str" cm="1">
        <f t="array" ref="U35">_xlfn.SWITCH(U93,4,"E",3,"H",2,"M",1,"L","N/A")</f>
        <v>N/A</v>
      </c>
      <c r="V35" s="21" t="str" cm="1">
        <f t="array" ref="V35">_xlfn.SWITCH(V93,4,"E",3,"H",2,"M",1,"L","N/A")</f>
        <v>H</v>
      </c>
      <c r="W35" s="21" t="str" cm="1">
        <f t="array" ref="W35">_xlfn.SWITCH(W93,4,"E",3,"H",2,"M",1,"L","N/A")</f>
        <v>H</v>
      </c>
      <c r="X35" s="21" t="str" cm="1">
        <f t="array" ref="X35">_xlfn.SWITCH(X93,4,"E",3,"H",2,"M",1,"L","N/A")</f>
        <v>E</v>
      </c>
      <c r="Y35" s="21" t="str" cm="1">
        <f t="array" ref="Y35">_xlfn.SWITCH(Y93,4,"E",3,"H",2,"M",1,"L","N/A")</f>
        <v>H</v>
      </c>
      <c r="Z35" s="21" t="str" cm="1">
        <f t="array" ref="Z35">_xlfn.SWITCH(Z93,4,"E",3,"H",2,"M",1,"L","N/A")</f>
        <v>E</v>
      </c>
      <c r="AA35" s="21" t="str" cm="1">
        <f t="array" ref="AA35">_xlfn.SWITCH(AA93,4,"E",3,"H",2,"M",1,"L","N/A")</f>
        <v>M</v>
      </c>
      <c r="AB35" s="21" t="str" cm="1">
        <f t="array" ref="AB35">_xlfn.SWITCH(AB93,4,"E",3,"H",2,"M",1,"L","N/A")</f>
        <v>N/A</v>
      </c>
      <c r="AC35" s="21" t="str" cm="1">
        <f t="array" ref="AC35">_xlfn.SWITCH(AC93,4,"E",3,"H",2,"M",1,"L","N/A")</f>
        <v>H</v>
      </c>
      <c r="AD35" s="21" t="str" cm="1">
        <f t="array" ref="AD35">_xlfn.SWITCH(AD93,4,"E",3,"H",2,"M",1,"L","N/A")</f>
        <v>H</v>
      </c>
    </row>
    <row r="36" spans="1:30" ht="18" x14ac:dyDescent="0.35">
      <c r="A36" s="79" t="s">
        <v>120</v>
      </c>
      <c r="B36" s="162" t="str">
        <f t="shared" si="0"/>
        <v>Airports / Airfields</v>
      </c>
      <c r="C36"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H</v>
      </c>
      <c r="D36" t="str" cm="1">
        <f t="array" ref="D36">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H</v>
      </c>
      <c r="E36" t="str" cm="1">
        <f t="array" ref="E36">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36" t="str" cm="1">
        <f t="array" ref="F36">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M</v>
      </c>
      <c r="G36" t="str" cm="1">
        <f t="array" ref="G36">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36" t="str" cm="1">
        <f t="array" ref="H36">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36"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L</v>
      </c>
      <c r="J36"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M</v>
      </c>
      <c r="K36"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M</v>
      </c>
      <c r="L36"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36"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M</v>
      </c>
      <c r="N36"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36"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36"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36" s="21" t="str" cm="1">
        <f t="array" ref="Q36">_xlfn.SWITCH(Q94,4,"E",3,"H",2,"M",1,"L","N/A")</f>
        <v>H</v>
      </c>
      <c r="R36" s="21" t="str" cm="1">
        <f t="array" ref="R36">_xlfn.SWITCH(R94,4,"E",3,"H",2,"M",1,"L","N/A")</f>
        <v>M</v>
      </c>
      <c r="S36" s="21" t="str" cm="1">
        <f t="array" ref="S36">_xlfn.SWITCH(S94,4,"E",3,"H",2,"M",1,"L","N/A")</f>
        <v>E</v>
      </c>
      <c r="T36" s="21" t="str" cm="1">
        <f t="array" ref="T36">_xlfn.SWITCH(T94,4,"E",3,"H",2,"M",1,"L","N/A")</f>
        <v>H</v>
      </c>
      <c r="U36" s="21" t="str" cm="1">
        <f t="array" ref="U36">_xlfn.SWITCH(U94,4,"E",3,"H",2,"M",1,"L","N/A")</f>
        <v>N/A</v>
      </c>
      <c r="V36" s="21" t="str" cm="1">
        <f t="array" ref="V36">_xlfn.SWITCH(V94,4,"E",3,"H",2,"M",1,"L","N/A")</f>
        <v>N/A</v>
      </c>
      <c r="W36" s="21" t="str" cm="1">
        <f t="array" ref="W36">_xlfn.SWITCH(W94,4,"E",3,"H",2,"M",1,"L","N/A")</f>
        <v>H</v>
      </c>
      <c r="X36" s="21" t="str" cm="1">
        <f t="array" ref="X36">_xlfn.SWITCH(X94,4,"E",3,"H",2,"M",1,"L","N/A")</f>
        <v>E</v>
      </c>
      <c r="Y36" s="21" t="str" cm="1">
        <f t="array" ref="Y36">_xlfn.SWITCH(Y94,4,"E",3,"H",2,"M",1,"L","N/A")</f>
        <v>H</v>
      </c>
      <c r="Z36" s="21" t="str" cm="1">
        <f t="array" ref="Z36">_xlfn.SWITCH(Z94,4,"E",3,"H",2,"M",1,"L","N/A")</f>
        <v>E</v>
      </c>
      <c r="AA36" s="21" t="str" cm="1">
        <f t="array" ref="AA36">_xlfn.SWITCH(AA94,4,"E",3,"H",2,"M",1,"L","N/A")</f>
        <v>E</v>
      </c>
      <c r="AB36" s="21" t="str" cm="1">
        <f t="array" ref="AB36">_xlfn.SWITCH(AB94,4,"E",3,"H",2,"M",1,"L","N/A")</f>
        <v>N/A</v>
      </c>
      <c r="AC36" s="21" t="str" cm="1">
        <f t="array" ref="AC36">_xlfn.SWITCH(AC94,4,"E",3,"H",2,"M",1,"L","N/A")</f>
        <v>N/A</v>
      </c>
      <c r="AD36" s="21" t="str" cm="1">
        <f t="array" ref="AD36">_xlfn.SWITCH(AD94,4,"E",3,"H",2,"M",1,"L","N/A")</f>
        <v>H</v>
      </c>
    </row>
    <row r="37" spans="1:30" ht="18" x14ac:dyDescent="0.35">
      <c r="A37" s="79" t="s">
        <v>120</v>
      </c>
      <c r="B37" s="162" t="str">
        <f t="shared" si="0"/>
        <v>Telecommunications</v>
      </c>
      <c r="C37"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M</v>
      </c>
      <c r="D37" t="str" cm="1">
        <f t="array" ref="D37">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M</v>
      </c>
      <c r="E37" t="str" cm="1">
        <f t="array" ref="E37">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37" t="str" cm="1">
        <f t="array" ref="F37">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L</v>
      </c>
      <c r="G37" t="str" cm="1">
        <f t="array" ref="G37">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37" t="str" cm="1">
        <f t="array" ref="H37">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37"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L</v>
      </c>
      <c r="J37"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L</v>
      </c>
      <c r="K37"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M</v>
      </c>
      <c r="L37"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37"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L</v>
      </c>
      <c r="N37"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37"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37"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L</v>
      </c>
      <c r="Q37" s="21" t="str" cm="1">
        <f t="array" ref="Q37">_xlfn.SWITCH(Q95,4,"E",3,"H",2,"M",1,"L","N/A")</f>
        <v>L</v>
      </c>
      <c r="R37" s="21" t="str" cm="1">
        <f t="array" ref="R37">_xlfn.SWITCH(R95,4,"E",3,"H",2,"M",1,"L","N/A")</f>
        <v>M</v>
      </c>
      <c r="S37" s="21" t="str" cm="1">
        <f t="array" ref="S37">_xlfn.SWITCH(S95,4,"E",3,"H",2,"M",1,"L","N/A")</f>
        <v>E</v>
      </c>
      <c r="T37" s="21" t="str" cm="1">
        <f t="array" ref="T37">_xlfn.SWITCH(T95,4,"E",3,"H",2,"M",1,"L","N/A")</f>
        <v>M</v>
      </c>
      <c r="U37" s="21" t="str" cm="1">
        <f t="array" ref="U37">_xlfn.SWITCH(U95,4,"E",3,"H",2,"M",1,"L","N/A")</f>
        <v>N/A</v>
      </c>
      <c r="V37" s="21" t="str" cm="1">
        <f t="array" ref="V37">_xlfn.SWITCH(V95,4,"E",3,"H",2,"M",1,"L","N/A")</f>
        <v>N/A</v>
      </c>
      <c r="W37" s="21" t="str" cm="1">
        <f t="array" ref="W37">_xlfn.SWITCH(W95,4,"E",3,"H",2,"M",1,"L","N/A")</f>
        <v>L</v>
      </c>
      <c r="X37" s="21" t="str" cm="1">
        <f t="array" ref="X37">_xlfn.SWITCH(X95,4,"E",3,"H",2,"M",1,"L","N/A")</f>
        <v>M</v>
      </c>
      <c r="Y37" s="21" t="str" cm="1">
        <f t="array" ref="Y37">_xlfn.SWITCH(Y95,4,"E",3,"H",2,"M",1,"L","N/A")</f>
        <v>H</v>
      </c>
      <c r="Z37" s="21" t="str" cm="1">
        <f t="array" ref="Z37">_xlfn.SWITCH(Z95,4,"E",3,"H",2,"M",1,"L","N/A")</f>
        <v>E</v>
      </c>
      <c r="AA37" s="21" t="str" cm="1">
        <f t="array" ref="AA37">_xlfn.SWITCH(AA95,4,"E",3,"H",2,"M",1,"L","N/A")</f>
        <v>M</v>
      </c>
      <c r="AB37" s="21" t="str" cm="1">
        <f t="array" ref="AB37">_xlfn.SWITCH(AB95,4,"E",3,"H",2,"M",1,"L","N/A")</f>
        <v>N/A</v>
      </c>
      <c r="AC37" s="21" t="str" cm="1">
        <f t="array" ref="AC37">_xlfn.SWITCH(AC95,4,"E",3,"H",2,"M",1,"L","N/A")</f>
        <v>N/A</v>
      </c>
      <c r="AD37" s="21" t="str" cm="1">
        <f t="array" ref="AD37">_xlfn.SWITCH(AD95,4,"E",3,"H",2,"M",1,"L","N/A")</f>
        <v>H</v>
      </c>
    </row>
    <row r="38" spans="1:30" ht="18" x14ac:dyDescent="0.35">
      <c r="A38" s="79" t="s">
        <v>120</v>
      </c>
      <c r="B38" s="162" t="str">
        <f t="shared" si="0"/>
        <v>Electricity</v>
      </c>
      <c r="C38"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M</v>
      </c>
      <c r="D38" t="str" cm="1">
        <f t="array" ref="D38">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M</v>
      </c>
      <c r="E38" t="str" cm="1">
        <f t="array" ref="E38">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38" t="str" cm="1">
        <f t="array" ref="F38">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L</v>
      </c>
      <c r="G38" t="str" cm="1">
        <f t="array" ref="G38">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38" t="str" cm="1">
        <f t="array" ref="H38">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38"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L</v>
      </c>
      <c r="J38"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L</v>
      </c>
      <c r="K38"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M</v>
      </c>
      <c r="L38"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38"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L</v>
      </c>
      <c r="N38"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38"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38"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38" s="21" t="str" cm="1">
        <f t="array" ref="Q38">_xlfn.SWITCH(Q96,4,"E",3,"H",2,"M",1,"L","N/A")</f>
        <v>L</v>
      </c>
      <c r="R38" s="21" t="str" cm="1">
        <f t="array" ref="R38">_xlfn.SWITCH(R96,4,"E",3,"H",2,"M",1,"L","N/A")</f>
        <v>M</v>
      </c>
      <c r="S38" s="21" t="str" cm="1">
        <f t="array" ref="S38">_xlfn.SWITCH(S96,4,"E",3,"H",2,"M",1,"L","N/A")</f>
        <v>E</v>
      </c>
      <c r="T38" s="21" t="str" cm="1">
        <f t="array" ref="T38">_xlfn.SWITCH(T96,4,"E",3,"H",2,"M",1,"L","N/A")</f>
        <v>M</v>
      </c>
      <c r="U38" s="21" t="str" cm="1">
        <f t="array" ref="U38">_xlfn.SWITCH(U96,4,"E",3,"H",2,"M",1,"L","N/A")</f>
        <v>N/A</v>
      </c>
      <c r="V38" s="21" t="str" cm="1">
        <f t="array" ref="V38">_xlfn.SWITCH(V96,4,"E",3,"H",2,"M",1,"L","N/A")</f>
        <v>N/A</v>
      </c>
      <c r="W38" s="21" t="str" cm="1">
        <f t="array" ref="W38">_xlfn.SWITCH(W96,4,"E",3,"H",2,"M",1,"L","N/A")</f>
        <v>H</v>
      </c>
      <c r="X38" s="21" t="str" cm="1">
        <f t="array" ref="X38">_xlfn.SWITCH(X96,4,"E",3,"H",2,"M",1,"L","N/A")</f>
        <v>H</v>
      </c>
      <c r="Y38" s="21" t="str" cm="1">
        <f t="array" ref="Y38">_xlfn.SWITCH(Y96,4,"E",3,"H",2,"M",1,"L","N/A")</f>
        <v>H</v>
      </c>
      <c r="Z38" s="21" t="str" cm="1">
        <f t="array" ref="Z38">_xlfn.SWITCH(Z96,4,"E",3,"H",2,"M",1,"L","N/A")</f>
        <v>E</v>
      </c>
      <c r="AA38" s="21" t="str" cm="1">
        <f t="array" ref="AA38">_xlfn.SWITCH(AA96,4,"E",3,"H",2,"M",1,"L","N/A")</f>
        <v>M</v>
      </c>
      <c r="AB38" s="21" t="str" cm="1">
        <f t="array" ref="AB38">_xlfn.SWITCH(AB96,4,"E",3,"H",2,"M",1,"L","N/A")</f>
        <v>N/A</v>
      </c>
      <c r="AC38" s="21" t="str" cm="1">
        <f t="array" ref="AC38">_xlfn.SWITCH(AC96,4,"E",3,"H",2,"M",1,"L","N/A")</f>
        <v>N/A</v>
      </c>
      <c r="AD38" s="21" t="str" cm="1">
        <f t="array" ref="AD38">_xlfn.SWITCH(AD96,4,"E",3,"H",2,"M",1,"L","N/A")</f>
        <v>H</v>
      </c>
    </row>
    <row r="39" spans="1:30" ht="18" x14ac:dyDescent="0.35">
      <c r="A39" s="79" t="s">
        <v>120</v>
      </c>
      <c r="B39" s="162" t="str">
        <f t="shared" si="0"/>
        <v>Wastewater Infrastructure</v>
      </c>
      <c r="C39"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H</v>
      </c>
      <c r="D39" t="str" cm="1">
        <f t="array" ref="D39">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H</v>
      </c>
      <c r="E39" t="str" cm="1">
        <f t="array" ref="E39">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39" t="str" cm="1">
        <f t="array" ref="F39">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M</v>
      </c>
      <c r="G39" t="str" cm="1">
        <f t="array" ref="G39">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39" t="str" cm="1">
        <f t="array" ref="H39">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39"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L</v>
      </c>
      <c r="J39"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L</v>
      </c>
      <c r="K39"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M</v>
      </c>
      <c r="L39"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39"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L</v>
      </c>
      <c r="N39"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39"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39"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39" s="21" t="str" cm="1">
        <f t="array" ref="Q39">_xlfn.SWITCH(Q97,4,"E",3,"H",2,"M",1,"L","N/A")</f>
        <v>M</v>
      </c>
      <c r="R39" s="21" t="str" cm="1">
        <f t="array" ref="R39">_xlfn.SWITCH(R97,4,"E",3,"H",2,"M",1,"L","N/A")</f>
        <v>M</v>
      </c>
      <c r="S39" s="21" t="str" cm="1">
        <f t="array" ref="S39">_xlfn.SWITCH(S97,4,"E",3,"H",2,"M",1,"L","N/A")</f>
        <v>E</v>
      </c>
      <c r="T39" s="21" t="str" cm="1">
        <f t="array" ref="T39">_xlfn.SWITCH(T97,4,"E",3,"H",2,"M",1,"L","N/A")</f>
        <v>M</v>
      </c>
      <c r="U39" s="21" t="str" cm="1">
        <f t="array" ref="U39">_xlfn.SWITCH(U97,4,"E",3,"H",2,"M",1,"L","N/A")</f>
        <v>N/A</v>
      </c>
      <c r="V39" s="21" t="str" cm="1">
        <f t="array" ref="V39">_xlfn.SWITCH(V97,4,"E",3,"H",2,"M",1,"L","N/A")</f>
        <v>N/A</v>
      </c>
      <c r="W39" s="21" t="str" cm="1">
        <f t="array" ref="W39">_xlfn.SWITCH(W97,4,"E",3,"H",2,"M",1,"L","N/A")</f>
        <v>H</v>
      </c>
      <c r="X39" s="21" t="str" cm="1">
        <f t="array" ref="X39">_xlfn.SWITCH(X97,4,"E",3,"H",2,"M",1,"L","N/A")</f>
        <v>E</v>
      </c>
      <c r="Y39" s="21" t="str" cm="1">
        <f t="array" ref="Y39">_xlfn.SWITCH(Y97,4,"E",3,"H",2,"M",1,"L","N/A")</f>
        <v>H</v>
      </c>
      <c r="Z39" s="21" t="str" cm="1">
        <f t="array" ref="Z39">_xlfn.SWITCH(Z97,4,"E",3,"H",2,"M",1,"L","N/A")</f>
        <v>E</v>
      </c>
      <c r="AA39" s="21" t="str" cm="1">
        <f t="array" ref="AA39">_xlfn.SWITCH(AA97,4,"E",3,"H",2,"M",1,"L","N/A")</f>
        <v>H</v>
      </c>
      <c r="AB39" s="21" t="str" cm="1">
        <f t="array" ref="AB39">_xlfn.SWITCH(AB97,4,"E",3,"H",2,"M",1,"L","N/A")</f>
        <v>N/A</v>
      </c>
      <c r="AC39" s="21" t="str" cm="1">
        <f t="array" ref="AC39">_xlfn.SWITCH(AC97,4,"E",3,"H",2,"M",1,"L","N/A")</f>
        <v>N/A</v>
      </c>
      <c r="AD39" s="21" t="str" cm="1">
        <f t="array" ref="AD39">_xlfn.SWITCH(AD97,4,"E",3,"H",2,"M",1,"L","N/A")</f>
        <v>H</v>
      </c>
    </row>
    <row r="40" spans="1:30" ht="18" x14ac:dyDescent="0.35">
      <c r="A40" s="79" t="s">
        <v>120</v>
      </c>
      <c r="B40" s="162" t="str">
        <f t="shared" si="0"/>
        <v>Transportation Assets</v>
      </c>
      <c r="C40"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H</v>
      </c>
      <c r="D40" t="str" cm="1">
        <f t="array" ref="D40">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H</v>
      </c>
      <c r="E40" t="str" cm="1">
        <f t="array" ref="E40">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40" t="str" cm="1">
        <f t="array" ref="F40">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M</v>
      </c>
      <c r="G40" t="str" cm="1">
        <f t="array" ref="G40">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40" t="str" cm="1">
        <f t="array" ref="H40">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40"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M</v>
      </c>
      <c r="J40"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L</v>
      </c>
      <c r="K40"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M</v>
      </c>
      <c r="L40"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40"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L</v>
      </c>
      <c r="N40"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40"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40"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40" s="21" t="str" cm="1">
        <f t="array" ref="Q40">_xlfn.SWITCH(Q98,4,"E",3,"H",2,"M",1,"L","N/A")</f>
        <v>H</v>
      </c>
      <c r="R40" s="21" t="str" cm="1">
        <f t="array" ref="R40">_xlfn.SWITCH(R98,4,"E",3,"H",2,"M",1,"L","N/A")</f>
        <v>M</v>
      </c>
      <c r="S40" s="21" t="str" cm="1">
        <f t="array" ref="S40">_xlfn.SWITCH(S98,4,"E",3,"H",2,"M",1,"L","N/A")</f>
        <v>E</v>
      </c>
      <c r="T40" s="21" t="str" cm="1">
        <f t="array" ref="T40">_xlfn.SWITCH(T98,4,"E",3,"H",2,"M",1,"L","N/A")</f>
        <v>L</v>
      </c>
      <c r="U40" s="21" t="str" cm="1">
        <f t="array" ref="U40">_xlfn.SWITCH(U98,4,"E",3,"H",2,"M",1,"L","N/A")</f>
        <v>N/A</v>
      </c>
      <c r="V40" s="21" t="str" cm="1">
        <f t="array" ref="V40">_xlfn.SWITCH(V98,4,"E",3,"H",2,"M",1,"L","N/A")</f>
        <v>N/A</v>
      </c>
      <c r="W40" s="21" t="str" cm="1">
        <f t="array" ref="W40">_xlfn.SWITCH(W98,4,"E",3,"H",2,"M",1,"L","N/A")</f>
        <v>H</v>
      </c>
      <c r="X40" s="21" t="str" cm="1">
        <f t="array" ref="X40">_xlfn.SWITCH(X98,4,"E",3,"H",2,"M",1,"L","N/A")</f>
        <v>E</v>
      </c>
      <c r="Y40" s="21" t="str" cm="1">
        <f t="array" ref="Y40">_xlfn.SWITCH(Y98,4,"E",3,"H",2,"M",1,"L","N/A")</f>
        <v>H</v>
      </c>
      <c r="Z40" s="21" t="str" cm="1">
        <f t="array" ref="Z40">_xlfn.SWITCH(Z98,4,"E",3,"H",2,"M",1,"L","N/A")</f>
        <v>E</v>
      </c>
      <c r="AA40" s="21" t="str" cm="1">
        <f t="array" ref="AA40">_xlfn.SWITCH(AA98,4,"E",3,"H",2,"M",1,"L","N/A")</f>
        <v>M</v>
      </c>
      <c r="AB40" s="21" t="str" cm="1">
        <f t="array" ref="AB40">_xlfn.SWITCH(AB98,4,"E",3,"H",2,"M",1,"L","N/A")</f>
        <v>N/A</v>
      </c>
      <c r="AC40" s="21" t="str" cm="1">
        <f t="array" ref="AC40">_xlfn.SWITCH(AC98,4,"E",3,"H",2,"M",1,"L","N/A")</f>
        <v>N/A</v>
      </c>
      <c r="AD40" s="21" t="str" cm="1">
        <f t="array" ref="AD40">_xlfn.SWITCH(AD98,4,"E",3,"H",2,"M",1,"L","N/A")</f>
        <v>H</v>
      </c>
    </row>
    <row r="41" spans="1:30" ht="18" x14ac:dyDescent="0.35">
      <c r="A41" s="79" t="s">
        <v>120</v>
      </c>
      <c r="B41" s="162" t="str">
        <f t="shared" si="0"/>
        <v>Water Supply</v>
      </c>
      <c r="C41"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L</v>
      </c>
      <c r="D41" t="str" cm="1">
        <f t="array" ref="D41">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M</v>
      </c>
      <c r="E41" t="str" cm="1">
        <f t="array" ref="E41">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41" t="str" cm="1">
        <f t="array" ref="F41">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H</v>
      </c>
      <c r="G41" t="str" cm="1">
        <f t="array" ref="G41">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41" t="str" cm="1">
        <f t="array" ref="H41">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41"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H</v>
      </c>
      <c r="J41"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L</v>
      </c>
      <c r="K41"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L</v>
      </c>
      <c r="L41"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M</v>
      </c>
      <c r="M41"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M</v>
      </c>
      <c r="N41"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41"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41"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41" s="21" t="str" cm="1">
        <f t="array" ref="Q41">_xlfn.SWITCH(Q99,4,"E",3,"H",2,"M",1,"L","N/A")</f>
        <v>M</v>
      </c>
      <c r="R41" s="21" t="str" cm="1">
        <f t="array" ref="R41">_xlfn.SWITCH(R99,4,"E",3,"H",2,"M",1,"L","N/A")</f>
        <v>M</v>
      </c>
      <c r="S41" s="21" t="str" cm="1">
        <f t="array" ref="S41">_xlfn.SWITCH(S99,4,"E",3,"H",2,"M",1,"L","N/A")</f>
        <v>H</v>
      </c>
      <c r="T41" s="21" t="str" cm="1">
        <f t="array" ref="T41">_xlfn.SWITCH(T99,4,"E",3,"H",2,"M",1,"L","N/A")</f>
        <v>H</v>
      </c>
      <c r="U41" s="21" t="str" cm="1">
        <f t="array" ref="U41">_xlfn.SWITCH(U99,4,"E",3,"H",2,"M",1,"L","N/A")</f>
        <v>N/A</v>
      </c>
      <c r="V41" s="21" t="str" cm="1">
        <f t="array" ref="V41">_xlfn.SWITCH(V99,4,"E",3,"H",2,"M",1,"L","N/A")</f>
        <v>N/A</v>
      </c>
      <c r="W41" s="21" t="str" cm="1">
        <f t="array" ref="W41">_xlfn.SWITCH(W99,4,"E",3,"H",2,"M",1,"L","N/A")</f>
        <v>H</v>
      </c>
      <c r="X41" s="21" t="str" cm="1">
        <f t="array" ref="X41">_xlfn.SWITCH(X99,4,"E",3,"H",2,"M",1,"L","N/A")</f>
        <v>H</v>
      </c>
      <c r="Y41" s="21" t="str" cm="1">
        <f t="array" ref="Y41">_xlfn.SWITCH(Y99,4,"E",3,"H",2,"M",1,"L","N/A")</f>
        <v>H</v>
      </c>
      <c r="Z41" s="21" t="str" cm="1">
        <f t="array" ref="Z41">_xlfn.SWITCH(Z99,4,"E",3,"H",2,"M",1,"L","N/A")</f>
        <v>H</v>
      </c>
      <c r="AA41" s="21" t="str" cm="1">
        <f t="array" ref="AA41">_xlfn.SWITCH(AA99,4,"E",3,"H",2,"M",1,"L","N/A")</f>
        <v>E</v>
      </c>
      <c r="AB41" s="21" t="str" cm="1">
        <f t="array" ref="AB41">_xlfn.SWITCH(AB99,4,"E",3,"H",2,"M",1,"L","N/A")</f>
        <v>N/A</v>
      </c>
      <c r="AC41" s="21" t="str" cm="1">
        <f t="array" ref="AC41">_xlfn.SWITCH(AC99,4,"E",3,"H",2,"M",1,"L","N/A")</f>
        <v>N/A</v>
      </c>
      <c r="AD41" s="21" t="str" cm="1">
        <f t="array" ref="AD41">_xlfn.SWITCH(AD99,4,"E",3,"H",2,"M",1,"L","N/A")</f>
        <v>E</v>
      </c>
    </row>
    <row r="42" spans="1:30" ht="18" x14ac:dyDescent="0.35">
      <c r="A42" s="79" t="s">
        <v>120</v>
      </c>
      <c r="B42" s="162" t="str">
        <f t="shared" si="0"/>
        <v>Stormwater / Flood Management</v>
      </c>
      <c r="C42"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M</v>
      </c>
      <c r="D42" t="str" cm="1">
        <f t="array" ref="D42">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H</v>
      </c>
      <c r="E42" t="str" cm="1">
        <f t="array" ref="E42">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42" t="str" cm="1">
        <f t="array" ref="F42">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M</v>
      </c>
      <c r="G42" t="str" cm="1">
        <f t="array" ref="G42">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42" t="str" cm="1">
        <f t="array" ref="H42">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42"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L</v>
      </c>
      <c r="J42"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M</v>
      </c>
      <c r="K42"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H</v>
      </c>
      <c r="L42"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42"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N/A</v>
      </c>
      <c r="N42"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42"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42"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L</v>
      </c>
      <c r="Q42" s="21" t="str" cm="1">
        <f t="array" ref="Q42">_xlfn.SWITCH(Q100,4,"E",3,"H",2,"M",1,"L","N/A")</f>
        <v>H</v>
      </c>
      <c r="R42" s="21" t="str" cm="1">
        <f t="array" ref="R42">_xlfn.SWITCH(R100,4,"E",3,"H",2,"M",1,"L","N/A")</f>
        <v>H</v>
      </c>
      <c r="S42" s="21" t="str" cm="1">
        <f t="array" ref="S42">_xlfn.SWITCH(S100,4,"E",3,"H",2,"M",1,"L","N/A")</f>
        <v>E</v>
      </c>
      <c r="T42" s="21" t="str" cm="1">
        <f t="array" ref="T42">_xlfn.SWITCH(T100,4,"E",3,"H",2,"M",1,"L","N/A")</f>
        <v>N/A</v>
      </c>
      <c r="U42" s="21" t="str" cm="1">
        <f t="array" ref="U42">_xlfn.SWITCH(U100,4,"E",3,"H",2,"M",1,"L","N/A")</f>
        <v>N/A</v>
      </c>
      <c r="V42" s="21" t="str" cm="1">
        <f t="array" ref="V42">_xlfn.SWITCH(V100,4,"E",3,"H",2,"M",1,"L","N/A")</f>
        <v>N/A</v>
      </c>
      <c r="W42" s="21" t="str" cm="1">
        <f t="array" ref="W42">_xlfn.SWITCH(W100,4,"E",3,"H",2,"M",1,"L","N/A")</f>
        <v>L</v>
      </c>
      <c r="X42" s="21" t="str" cm="1">
        <f t="array" ref="X42">_xlfn.SWITCH(X100,4,"E",3,"H",2,"M",1,"L","N/A")</f>
        <v>E</v>
      </c>
      <c r="Y42" s="21" t="str" cm="1">
        <f t="array" ref="Y42">_xlfn.SWITCH(Y100,4,"E",3,"H",2,"M",1,"L","N/A")</f>
        <v>E</v>
      </c>
      <c r="Z42" s="21" t="str" cm="1">
        <f t="array" ref="Z42">_xlfn.SWITCH(Z100,4,"E",3,"H",2,"M",1,"L","N/A")</f>
        <v>E</v>
      </c>
      <c r="AA42" s="21" t="str" cm="1">
        <f t="array" ref="AA42">_xlfn.SWITCH(AA100,4,"E",3,"H",2,"M",1,"L","N/A")</f>
        <v>N/A</v>
      </c>
      <c r="AB42" s="21" t="str" cm="1">
        <f t="array" ref="AB42">_xlfn.SWITCH(AB100,4,"E",3,"H",2,"M",1,"L","N/A")</f>
        <v>N/A</v>
      </c>
      <c r="AC42" s="21" t="str" cm="1">
        <f t="array" ref="AC42">_xlfn.SWITCH(AC100,4,"E",3,"H",2,"M",1,"L","N/A")</f>
        <v>N/A</v>
      </c>
      <c r="AD42" s="21" t="str" cm="1">
        <f t="array" ref="AD42">_xlfn.SWITCH(AD100,4,"E",3,"H",2,"M",1,"L","N/A")</f>
        <v>M</v>
      </c>
    </row>
    <row r="43" spans="1:30" ht="18" x14ac:dyDescent="0.35">
      <c r="A43" s="79" t="s">
        <v>120</v>
      </c>
      <c r="B43" s="162" t="str">
        <f t="shared" si="0"/>
        <v>Uninhabited Buildings</v>
      </c>
      <c r="C43"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H</v>
      </c>
      <c r="D43" t="str" cm="1">
        <f t="array" ref="D43">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M</v>
      </c>
      <c r="E43" t="str" cm="1">
        <f t="array" ref="E43">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43" t="str" cm="1">
        <f t="array" ref="F43">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M</v>
      </c>
      <c r="G43" t="str" cm="1">
        <f t="array" ref="G43">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43" t="str" cm="1">
        <f t="array" ref="H43">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43"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L</v>
      </c>
      <c r="J43"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M</v>
      </c>
      <c r="K43"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M</v>
      </c>
      <c r="L43"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43"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M</v>
      </c>
      <c r="N43"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43"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43"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43" s="21" t="str" cm="1">
        <f t="array" ref="Q43">_xlfn.SWITCH(Q101,4,"E",3,"H",2,"M",1,"L","N/A")</f>
        <v>H</v>
      </c>
      <c r="R43" s="21" t="str" cm="1">
        <f t="array" ref="R43">_xlfn.SWITCH(R101,4,"E",3,"H",2,"M",1,"L","N/A")</f>
        <v>M</v>
      </c>
      <c r="S43" s="21" t="str" cm="1">
        <f t="array" ref="S43">_xlfn.SWITCH(S101,4,"E",3,"H",2,"M",1,"L","N/A")</f>
        <v>E</v>
      </c>
      <c r="T43" s="21" t="str" cm="1">
        <f t="array" ref="T43">_xlfn.SWITCH(T101,4,"E",3,"H",2,"M",1,"L","N/A")</f>
        <v>H</v>
      </c>
      <c r="U43" s="21" t="str" cm="1">
        <f t="array" ref="U43">_xlfn.SWITCH(U101,4,"E",3,"H",2,"M",1,"L","N/A")</f>
        <v>N/A</v>
      </c>
      <c r="V43" s="21" t="str" cm="1">
        <f t="array" ref="V43">_xlfn.SWITCH(V101,4,"E",3,"H",2,"M",1,"L","N/A")</f>
        <v>N/A</v>
      </c>
      <c r="W43" s="21" t="str" cm="1">
        <f t="array" ref="W43">_xlfn.SWITCH(W101,4,"E",3,"H",2,"M",1,"L","N/A")</f>
        <v>H</v>
      </c>
      <c r="X43" s="21" t="str" cm="1">
        <f t="array" ref="X43">_xlfn.SWITCH(X101,4,"E",3,"H",2,"M",1,"L","N/A")</f>
        <v>E</v>
      </c>
      <c r="Y43" s="21" t="str" cm="1">
        <f t="array" ref="Y43">_xlfn.SWITCH(Y101,4,"E",3,"H",2,"M",1,"L","N/A")</f>
        <v>H</v>
      </c>
      <c r="Z43" s="21" t="str" cm="1">
        <f t="array" ref="Z43">_xlfn.SWITCH(Z101,4,"E",3,"H",2,"M",1,"L","N/A")</f>
        <v>E</v>
      </c>
      <c r="AA43" s="21" t="str" cm="1">
        <f t="array" ref="AA43">_xlfn.SWITCH(AA101,4,"E",3,"H",2,"M",1,"L","N/A")</f>
        <v>E</v>
      </c>
      <c r="AB43" s="21" t="str" cm="1">
        <f t="array" ref="AB43">_xlfn.SWITCH(AB101,4,"E",3,"H",2,"M",1,"L","N/A")</f>
        <v>N/A</v>
      </c>
      <c r="AC43" s="21" t="str" cm="1">
        <f t="array" ref="AC43">_xlfn.SWITCH(AC101,4,"E",3,"H",2,"M",1,"L","N/A")</f>
        <v>N/A</v>
      </c>
      <c r="AD43" s="21" t="str" cm="1">
        <f t="array" ref="AD43">_xlfn.SWITCH(AD101,4,"E",3,"H",2,"M",1,"L","N/A")</f>
        <v>H</v>
      </c>
    </row>
    <row r="44" spans="1:30" ht="18" x14ac:dyDescent="0.35">
      <c r="A44" s="77" t="s">
        <v>120</v>
      </c>
      <c r="B44" s="163" t="str">
        <f t="shared" si="0"/>
        <v>Evacuation Structures</v>
      </c>
      <c r="C44"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M</v>
      </c>
      <c r="D44" t="str" cm="1">
        <f t="array" ref="D44">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H</v>
      </c>
      <c r="E44" t="str" cm="1">
        <f t="array" ref="E44">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44" t="str" cm="1">
        <f t="array" ref="F44">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N/A</v>
      </c>
      <c r="G44" t="str" cm="1">
        <f t="array" ref="G44">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44" t="str" cm="1">
        <f t="array" ref="H44">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44"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M</v>
      </c>
      <c r="J44"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L</v>
      </c>
      <c r="K44"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M</v>
      </c>
      <c r="L44"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M</v>
      </c>
      <c r="M44"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N/A</v>
      </c>
      <c r="N44"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44"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44"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44" s="21" t="str" cm="1">
        <f t="array" ref="Q44">_xlfn.SWITCH(Q102,4,"E",3,"H",2,"M",1,"L","N/A")</f>
        <v>M</v>
      </c>
      <c r="R44" s="21" t="str" cm="1">
        <f t="array" ref="R44">_xlfn.SWITCH(R102,4,"E",3,"H",2,"M",1,"L","N/A")</f>
        <v>M</v>
      </c>
      <c r="S44" s="21" t="str" cm="1">
        <f t="array" ref="S44">_xlfn.SWITCH(S102,4,"E",3,"H",2,"M",1,"L","N/A")</f>
        <v>H</v>
      </c>
      <c r="T44" s="21" t="str" cm="1">
        <f t="array" ref="T44">_xlfn.SWITCH(T102,4,"E",3,"H",2,"M",1,"L","N/A")</f>
        <v>N/A</v>
      </c>
      <c r="U44" s="21" t="str" cm="1">
        <f t="array" ref="U44">_xlfn.SWITCH(U102,4,"E",3,"H",2,"M",1,"L","N/A")</f>
        <v>N/A</v>
      </c>
      <c r="V44" s="21" t="str" cm="1">
        <f t="array" ref="V44">_xlfn.SWITCH(V102,4,"E",3,"H",2,"M",1,"L","N/A")</f>
        <v>N/A</v>
      </c>
      <c r="W44" s="21" t="str" cm="1">
        <f t="array" ref="W44">_xlfn.SWITCH(W102,4,"E",3,"H",2,"M",1,"L","N/A")</f>
        <v>H</v>
      </c>
      <c r="X44" s="21" t="str" cm="1">
        <f t="array" ref="X44">_xlfn.SWITCH(X102,4,"E",3,"H",2,"M",1,"L","N/A")</f>
        <v>H</v>
      </c>
      <c r="Y44" s="21" t="str" cm="1">
        <f t="array" ref="Y44">_xlfn.SWITCH(Y102,4,"E",3,"H",2,"M",1,"L","N/A")</f>
        <v>E</v>
      </c>
      <c r="Z44" s="21" t="str" cm="1">
        <f t="array" ref="Z44">_xlfn.SWITCH(Z102,4,"E",3,"H",2,"M",1,"L","N/A")</f>
        <v>E</v>
      </c>
      <c r="AA44" s="21" t="str" cm="1">
        <f t="array" ref="AA44">_xlfn.SWITCH(AA102,4,"E",3,"H",2,"M",1,"L","N/A")</f>
        <v>N/A</v>
      </c>
      <c r="AB44" s="21" t="str" cm="1">
        <f t="array" ref="AB44">_xlfn.SWITCH(AB102,4,"E",3,"H",2,"M",1,"L","N/A")</f>
        <v>N/A</v>
      </c>
      <c r="AC44" s="21" t="str" cm="1">
        <f t="array" ref="AC44">_xlfn.SWITCH(AC102,4,"E",3,"H",2,"M",1,"L","N/A")</f>
        <v>N/A</v>
      </c>
      <c r="AD44" s="21" t="str" cm="1">
        <f t="array" ref="AD44">_xlfn.SWITCH(AD102,4,"E",3,"H",2,"M",1,"L","N/A")</f>
        <v>H</v>
      </c>
    </row>
    <row r="45" spans="1:30" ht="18" x14ac:dyDescent="0.35">
      <c r="A45" s="78" t="s">
        <v>46</v>
      </c>
      <c r="B45" s="161" t="str">
        <f t="shared" ref="B45:B53" si="1">B18</f>
        <v>Outdoor Land Activities</v>
      </c>
      <c r="C45" s="21"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M</v>
      </c>
      <c r="D45" s="50" t="str" cm="1">
        <f t="array" ref="D45">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E</v>
      </c>
      <c r="E45" s="50" t="str" cm="1">
        <f t="array" ref="E45">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E</v>
      </c>
      <c r="F45" s="50" t="str" cm="1">
        <f t="array" ref="F45">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H</v>
      </c>
      <c r="G45" s="50" t="str" cm="1">
        <f t="array" ref="G45">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45" s="50" t="str" cm="1">
        <f t="array" ref="H45">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45" s="95"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H</v>
      </c>
      <c r="J45"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L</v>
      </c>
      <c r="K45"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H</v>
      </c>
      <c r="L45"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45"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M</v>
      </c>
      <c r="N45"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45"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45"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45" s="21" t="str" cm="1">
        <f t="array" ref="Q45">_xlfn.SWITCH(Q103,4,"E",3,"H",2,"M",1,"L","N/A")</f>
        <v>L</v>
      </c>
      <c r="R45" s="21" t="str" cm="1">
        <f t="array" ref="R45">_xlfn.SWITCH(R103,4,"E",3,"H",2,"M",1,"L","N/A")</f>
        <v>H</v>
      </c>
      <c r="S45" s="21" t="str" cm="1">
        <f t="array" ref="S45">_xlfn.SWITCH(S103,4,"E",3,"H",2,"M",1,"L","N/A")</f>
        <v>E</v>
      </c>
      <c r="T45" s="21" t="str" cm="1">
        <f t="array" ref="T45">_xlfn.SWITCH(T103,4,"E",3,"H",2,"M",1,"L","N/A")</f>
        <v>H</v>
      </c>
      <c r="U45" s="21" t="str" cm="1">
        <f t="array" ref="U45">_xlfn.SWITCH(U103,4,"E",3,"H",2,"M",1,"L","N/A")</f>
        <v>N/A</v>
      </c>
      <c r="V45" s="21" t="str" cm="1">
        <f t="array" ref="V45">_xlfn.SWITCH(V103,4,"E",3,"H",2,"M",1,"L","N/A")</f>
        <v>N/A</v>
      </c>
      <c r="W45" s="21" t="str" cm="1">
        <f t="array" ref="W45">_xlfn.SWITCH(W103,4,"E",3,"H",2,"M",1,"L","N/A")</f>
        <v>H</v>
      </c>
      <c r="X45" s="21" t="str" cm="1">
        <f t="array" ref="X45">_xlfn.SWITCH(X103,4,"E",3,"H",2,"M",1,"L","N/A")</f>
        <v>M</v>
      </c>
      <c r="Y45" s="21" t="str" cm="1">
        <f t="array" ref="Y45">_xlfn.SWITCH(Y103,4,"E",3,"H",2,"M",1,"L","N/A")</f>
        <v>H</v>
      </c>
      <c r="Z45" s="21" t="str" cm="1">
        <f t="array" ref="Z45">_xlfn.SWITCH(Z103,4,"E",3,"H",2,"M",1,"L","N/A")</f>
        <v>E</v>
      </c>
      <c r="AA45" s="21" t="str" cm="1">
        <f t="array" ref="AA45">_xlfn.SWITCH(AA103,4,"E",3,"H",2,"M",1,"L","N/A")</f>
        <v>E</v>
      </c>
      <c r="AB45" s="21" t="str" cm="1">
        <f t="array" ref="AB45">_xlfn.SWITCH(AB103,4,"E",3,"H",2,"M",1,"L","N/A")</f>
        <v>N/A</v>
      </c>
      <c r="AC45" s="21" t="str" cm="1">
        <f t="array" ref="AC45">_xlfn.SWITCH(AC103,4,"E",3,"H",2,"M",1,"L","N/A")</f>
        <v>N/A</v>
      </c>
      <c r="AD45" s="21" t="str" cm="1">
        <f t="array" ref="AD45">_xlfn.SWITCH(AD103,4,"E",3,"H",2,"M",1,"L","N/A")</f>
        <v>E</v>
      </c>
    </row>
    <row r="46" spans="1:30" ht="18" x14ac:dyDescent="0.35">
      <c r="A46" s="79" t="s">
        <v>46</v>
      </c>
      <c r="B46" s="162" t="str">
        <f t="shared" si="1"/>
        <v>Outdoor Marine Activities</v>
      </c>
      <c r="C46"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H</v>
      </c>
      <c r="D46" t="str" cm="1">
        <f t="array" ref="D46">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E</v>
      </c>
      <c r="E46" t="str" cm="1">
        <f t="array" ref="E46">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E</v>
      </c>
      <c r="F46" t="str" cm="1">
        <f t="array" ref="F46">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L</v>
      </c>
      <c r="G46" t="str" cm="1">
        <f t="array" ref="G46">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M</v>
      </c>
      <c r="H46" t="str" cm="1">
        <f t="array" ref="H46">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M</v>
      </c>
      <c r="I46"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H</v>
      </c>
      <c r="J46"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L</v>
      </c>
      <c r="K46"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H</v>
      </c>
      <c r="L46"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46"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L</v>
      </c>
      <c r="N46"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M</v>
      </c>
      <c r="O46"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M</v>
      </c>
      <c r="P46"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46" s="21" t="str" cm="1">
        <f t="array" ref="Q46">_xlfn.SWITCH(Q104,4,"E",3,"H",2,"M",1,"L","N/A")</f>
        <v>L</v>
      </c>
      <c r="R46" s="21" t="str" cm="1">
        <f t="array" ref="R46">_xlfn.SWITCH(R104,4,"E",3,"H",2,"M",1,"L","N/A")</f>
        <v>H</v>
      </c>
      <c r="S46" s="21" t="str" cm="1">
        <f t="array" ref="S46">_xlfn.SWITCH(S104,4,"E",3,"H",2,"M",1,"L","N/A")</f>
        <v>E</v>
      </c>
      <c r="T46" s="21" t="str" cm="1">
        <f t="array" ref="T46">_xlfn.SWITCH(T104,4,"E",3,"H",2,"M",1,"L","N/A")</f>
        <v>L</v>
      </c>
      <c r="U46" s="21" t="str" cm="1">
        <f t="array" ref="U46">_xlfn.SWITCH(U104,4,"E",3,"H",2,"M",1,"L","N/A")</f>
        <v>H</v>
      </c>
      <c r="V46" s="21" t="str" cm="1">
        <f t="array" ref="V46">_xlfn.SWITCH(V104,4,"E",3,"H",2,"M",1,"L","N/A")</f>
        <v>H</v>
      </c>
      <c r="W46" s="21" t="str" cm="1">
        <f t="array" ref="W46">_xlfn.SWITCH(W104,4,"E",3,"H",2,"M",1,"L","N/A")</f>
        <v>H</v>
      </c>
      <c r="X46" s="21" t="str" cm="1">
        <f t="array" ref="X46">_xlfn.SWITCH(X104,4,"E",3,"H",2,"M",1,"L","N/A")</f>
        <v>M</v>
      </c>
      <c r="Y46" s="21" t="str" cm="1">
        <f t="array" ref="Y46">_xlfn.SWITCH(Y104,4,"E",3,"H",2,"M",1,"L","N/A")</f>
        <v>H</v>
      </c>
      <c r="Z46" s="21" t="str" cm="1">
        <f t="array" ref="Z46">_xlfn.SWITCH(Z104,4,"E",3,"H",2,"M",1,"L","N/A")</f>
        <v>E</v>
      </c>
      <c r="AA46" s="21" t="str" cm="1">
        <f t="array" ref="AA46">_xlfn.SWITCH(AA104,4,"E",3,"H",2,"M",1,"L","N/A")</f>
        <v>L</v>
      </c>
      <c r="AB46" s="21" t="str" cm="1">
        <f t="array" ref="AB46">_xlfn.SWITCH(AB104,4,"E",3,"H",2,"M",1,"L","N/A")</f>
        <v>E</v>
      </c>
      <c r="AC46" s="21" t="str" cm="1">
        <f t="array" ref="AC46">_xlfn.SWITCH(AC104,4,"E",3,"H",2,"M",1,"L","N/A")</f>
        <v>E</v>
      </c>
      <c r="AD46" s="21" t="str" cm="1">
        <f t="array" ref="AD46">_xlfn.SWITCH(AD104,4,"E",3,"H",2,"M",1,"L","N/A")</f>
        <v>E</v>
      </c>
    </row>
    <row r="47" spans="1:30" ht="18" x14ac:dyDescent="0.35">
      <c r="A47" s="79" t="s">
        <v>46</v>
      </c>
      <c r="B47" s="162" t="str">
        <f t="shared" si="1"/>
        <v>Outdoor Freshwater Activities</v>
      </c>
      <c r="C47"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L</v>
      </c>
      <c r="D47" t="str" cm="1">
        <f t="array" ref="D47">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E</v>
      </c>
      <c r="E47" t="str" cm="1">
        <f t="array" ref="E47">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E</v>
      </c>
      <c r="F47" t="str" cm="1">
        <f t="array" ref="F47">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H</v>
      </c>
      <c r="G47" t="str" cm="1">
        <f t="array" ref="G47">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47" t="str" cm="1">
        <f t="array" ref="H47">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47"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H</v>
      </c>
      <c r="J47"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L</v>
      </c>
      <c r="K47"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H</v>
      </c>
      <c r="L47"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47"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M</v>
      </c>
      <c r="N47"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47"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47"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47" s="21" t="str" cm="1">
        <f t="array" ref="Q47">_xlfn.SWITCH(Q105,4,"E",3,"H",2,"M",1,"L","N/A")</f>
        <v>L</v>
      </c>
      <c r="R47" s="21" t="str" cm="1">
        <f t="array" ref="R47">_xlfn.SWITCH(R105,4,"E",3,"H",2,"M",1,"L","N/A")</f>
        <v>H</v>
      </c>
      <c r="S47" s="21" t="str" cm="1">
        <f t="array" ref="S47">_xlfn.SWITCH(S105,4,"E",3,"H",2,"M",1,"L","N/A")</f>
        <v>E</v>
      </c>
      <c r="T47" s="21" t="str" cm="1">
        <f t="array" ref="T47">_xlfn.SWITCH(T105,4,"E",3,"H",2,"M",1,"L","N/A")</f>
        <v>H</v>
      </c>
      <c r="U47" s="21" t="str" cm="1">
        <f t="array" ref="U47">_xlfn.SWITCH(U105,4,"E",3,"H",2,"M",1,"L","N/A")</f>
        <v>N/A</v>
      </c>
      <c r="V47" s="21" t="str" cm="1">
        <f t="array" ref="V47">_xlfn.SWITCH(V105,4,"E",3,"H",2,"M",1,"L","N/A")</f>
        <v>N/A</v>
      </c>
      <c r="W47" s="21" t="str" cm="1">
        <f t="array" ref="W47">_xlfn.SWITCH(W105,4,"E",3,"H",2,"M",1,"L","N/A")</f>
        <v>H</v>
      </c>
      <c r="X47" s="21" t="str" cm="1">
        <f t="array" ref="X47">_xlfn.SWITCH(X105,4,"E",3,"H",2,"M",1,"L","N/A")</f>
        <v>H</v>
      </c>
      <c r="Y47" s="21" t="str" cm="1">
        <f t="array" ref="Y47">_xlfn.SWITCH(Y105,4,"E",3,"H",2,"M",1,"L","N/A")</f>
        <v>H</v>
      </c>
      <c r="Z47" s="21" t="str" cm="1">
        <f t="array" ref="Z47">_xlfn.SWITCH(Z105,4,"E",3,"H",2,"M",1,"L","N/A")</f>
        <v>E</v>
      </c>
      <c r="AA47" s="21" t="str" cm="1">
        <f t="array" ref="AA47">_xlfn.SWITCH(AA105,4,"E",3,"H",2,"M",1,"L","N/A")</f>
        <v>E</v>
      </c>
      <c r="AB47" s="21" t="str" cm="1">
        <f t="array" ref="AB47">_xlfn.SWITCH(AB105,4,"E",3,"H",2,"M",1,"L","N/A")</f>
        <v>N/A</v>
      </c>
      <c r="AC47" s="21" t="str" cm="1">
        <f t="array" ref="AC47">_xlfn.SWITCH(AC105,4,"E",3,"H",2,"M",1,"L","N/A")</f>
        <v>N/A</v>
      </c>
      <c r="AD47" s="21" t="str" cm="1">
        <f t="array" ref="AD47">_xlfn.SWITCH(AD105,4,"E",3,"H",2,"M",1,"L","N/A")</f>
        <v>E</v>
      </c>
    </row>
    <row r="48" spans="1:30" ht="18" x14ac:dyDescent="0.35">
      <c r="A48" s="79" t="s">
        <v>46</v>
      </c>
      <c r="B48" s="162" t="str">
        <f t="shared" si="1"/>
        <v>Outdoor Coastal Activities</v>
      </c>
      <c r="C48"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H</v>
      </c>
      <c r="D48" t="str" cm="1">
        <f t="array" ref="D48">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E</v>
      </c>
      <c r="E48" t="str" cm="1">
        <f t="array" ref="E48">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E</v>
      </c>
      <c r="F48" t="str" cm="1">
        <f t="array" ref="F48">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L</v>
      </c>
      <c r="G48" t="str" cm="1">
        <f t="array" ref="G48">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M</v>
      </c>
      <c r="H48" t="str" cm="1">
        <f t="array" ref="H48">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M</v>
      </c>
      <c r="I48"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H</v>
      </c>
      <c r="J48"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M</v>
      </c>
      <c r="K48"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H</v>
      </c>
      <c r="L48"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48"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L</v>
      </c>
      <c r="N48"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L</v>
      </c>
      <c r="O48"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L</v>
      </c>
      <c r="P48"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48" s="21" t="str" cm="1">
        <f t="array" ref="Q48">_xlfn.SWITCH(Q106,4,"E",3,"H",2,"M",1,"L","N/A")</f>
        <v>H</v>
      </c>
      <c r="R48" s="21" t="str" cm="1">
        <f t="array" ref="R48">_xlfn.SWITCH(R106,4,"E",3,"H",2,"M",1,"L","N/A")</f>
        <v>H</v>
      </c>
      <c r="S48" s="21" t="str" cm="1">
        <f t="array" ref="S48">_xlfn.SWITCH(S106,4,"E",3,"H",2,"M",1,"L","N/A")</f>
        <v>E</v>
      </c>
      <c r="T48" s="21" t="str" cm="1">
        <f t="array" ref="T48">_xlfn.SWITCH(T106,4,"E",3,"H",2,"M",1,"L","N/A")</f>
        <v>L</v>
      </c>
      <c r="U48" s="21" t="str" cm="1">
        <f t="array" ref="U48">_xlfn.SWITCH(U106,4,"E",3,"H",2,"M",1,"L","N/A")</f>
        <v>H</v>
      </c>
      <c r="V48" s="21" t="str" cm="1">
        <f t="array" ref="V48">_xlfn.SWITCH(V106,4,"E",3,"H",2,"M",1,"L","N/A")</f>
        <v>H</v>
      </c>
      <c r="W48" s="21" t="str" cm="1">
        <f t="array" ref="W48">_xlfn.SWITCH(W106,4,"E",3,"H",2,"M",1,"L","N/A")</f>
        <v>H</v>
      </c>
      <c r="X48" s="21" t="str" cm="1">
        <f t="array" ref="X48">_xlfn.SWITCH(X106,4,"E",3,"H",2,"M",1,"L","N/A")</f>
        <v>E</v>
      </c>
      <c r="Y48" s="21" t="str" cm="1">
        <f t="array" ref="Y48">_xlfn.SWITCH(Y106,4,"E",3,"H",2,"M",1,"L","N/A")</f>
        <v>H</v>
      </c>
      <c r="Z48" s="21" t="str" cm="1">
        <f t="array" ref="Z48">_xlfn.SWITCH(Z106,4,"E",3,"H",2,"M",1,"L","N/A")</f>
        <v>E</v>
      </c>
      <c r="AA48" s="21" t="str" cm="1">
        <f t="array" ref="AA48">_xlfn.SWITCH(AA106,4,"E",3,"H",2,"M",1,"L","N/A")</f>
        <v>L</v>
      </c>
      <c r="AB48" s="21" t="str" cm="1">
        <f t="array" ref="AB48">_xlfn.SWITCH(AB106,4,"E",3,"H",2,"M",1,"L","N/A")</f>
        <v>E</v>
      </c>
      <c r="AC48" s="21" t="str" cm="1">
        <f t="array" ref="AC48">_xlfn.SWITCH(AC106,4,"E",3,"H",2,"M",1,"L","N/A")</f>
        <v>E</v>
      </c>
      <c r="AD48" s="21" t="str" cm="1">
        <f t="array" ref="AD48">_xlfn.SWITCH(AD106,4,"E",3,"H",2,"M",1,"L","N/A")</f>
        <v>E</v>
      </c>
    </row>
    <row r="49" spans="1:30" ht="18" x14ac:dyDescent="0.35">
      <c r="A49" s="79" t="s">
        <v>46</v>
      </c>
      <c r="B49" s="162" t="str">
        <f t="shared" si="1"/>
        <v>Land Transportation Activities</v>
      </c>
      <c r="C49"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H</v>
      </c>
      <c r="D49" t="str" cm="1">
        <f t="array" ref="D49">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E</v>
      </c>
      <c r="E49" t="str" cm="1">
        <f t="array" ref="E49">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E</v>
      </c>
      <c r="F49" t="str" cm="1">
        <f t="array" ref="F49">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L</v>
      </c>
      <c r="G49" t="str" cm="1">
        <f t="array" ref="G49">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49" t="str" cm="1">
        <f t="array" ref="H49">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49"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L</v>
      </c>
      <c r="J49"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M</v>
      </c>
      <c r="K49"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H</v>
      </c>
      <c r="L49"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49"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L</v>
      </c>
      <c r="N49"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49"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49"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49" s="21" t="str" cm="1">
        <f t="array" ref="Q49">_xlfn.SWITCH(Q107,4,"E",3,"H",2,"M",1,"L","N/A")</f>
        <v>H</v>
      </c>
      <c r="R49" s="21" t="str" cm="1">
        <f t="array" ref="R49">_xlfn.SWITCH(R107,4,"E",3,"H",2,"M",1,"L","N/A")</f>
        <v>H</v>
      </c>
      <c r="S49" s="21" t="str" cm="1">
        <f t="array" ref="S49">_xlfn.SWITCH(S107,4,"E",3,"H",2,"M",1,"L","N/A")</f>
        <v>E</v>
      </c>
      <c r="T49" s="21" t="str" cm="1">
        <f t="array" ref="T49">_xlfn.SWITCH(T107,4,"E",3,"H",2,"M",1,"L","N/A")</f>
        <v>M</v>
      </c>
      <c r="U49" s="21" t="str" cm="1">
        <f t="array" ref="U49">_xlfn.SWITCH(U107,4,"E",3,"H",2,"M",1,"L","N/A")</f>
        <v>N/A</v>
      </c>
      <c r="V49" s="21" t="str" cm="1">
        <f t="array" ref="V49">_xlfn.SWITCH(V107,4,"E",3,"H",2,"M",1,"L","N/A")</f>
        <v>N/A</v>
      </c>
      <c r="W49" s="21" t="str" cm="1">
        <f t="array" ref="W49">_xlfn.SWITCH(W107,4,"E",3,"H",2,"M",1,"L","N/A")</f>
        <v>M</v>
      </c>
      <c r="X49" s="21" t="str" cm="1">
        <f t="array" ref="X49">_xlfn.SWITCH(X107,4,"E",3,"H",2,"M",1,"L","N/A")</f>
        <v>H</v>
      </c>
      <c r="Y49" s="21" t="str" cm="1">
        <f t="array" ref="Y49">_xlfn.SWITCH(Y107,4,"E",3,"H",2,"M",1,"L","N/A")</f>
        <v>H</v>
      </c>
      <c r="Z49" s="21" t="str" cm="1">
        <f t="array" ref="Z49">_xlfn.SWITCH(Z107,4,"E",3,"H",2,"M",1,"L","N/A")</f>
        <v>E</v>
      </c>
      <c r="AA49" s="21" t="str" cm="1">
        <f t="array" ref="AA49">_xlfn.SWITCH(AA107,4,"E",3,"H",2,"M",1,"L","N/A")</f>
        <v>H</v>
      </c>
      <c r="AB49" s="21" t="str" cm="1">
        <f t="array" ref="AB49">_xlfn.SWITCH(AB107,4,"E",3,"H",2,"M",1,"L","N/A")</f>
        <v>N/A</v>
      </c>
      <c r="AC49" s="21" t="str" cm="1">
        <f t="array" ref="AC49">_xlfn.SWITCH(AC107,4,"E",3,"H",2,"M",1,"L","N/A")</f>
        <v>N/A</v>
      </c>
      <c r="AD49" s="21" t="str" cm="1">
        <f t="array" ref="AD49">_xlfn.SWITCH(AD107,4,"E",3,"H",2,"M",1,"L","N/A")</f>
        <v>M</v>
      </c>
    </row>
    <row r="50" spans="1:30" ht="18" x14ac:dyDescent="0.35">
      <c r="A50" s="79" t="s">
        <v>46</v>
      </c>
      <c r="B50" s="162" t="str">
        <f t="shared" si="1"/>
        <v>Water Transportation Activities</v>
      </c>
      <c r="C50"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L</v>
      </c>
      <c r="D50" t="str" cm="1">
        <f t="array" ref="D50">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E</v>
      </c>
      <c r="E50" t="str" cm="1">
        <f t="array" ref="E50">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E</v>
      </c>
      <c r="F50" t="str" cm="1">
        <f t="array" ref="F50">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M</v>
      </c>
      <c r="G50" t="str" cm="1">
        <f t="array" ref="G50">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L</v>
      </c>
      <c r="H50" t="str" cm="1">
        <f t="array" ref="H50">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L</v>
      </c>
      <c r="I50"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L</v>
      </c>
      <c r="J50"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M</v>
      </c>
      <c r="K50"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H</v>
      </c>
      <c r="L50"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H</v>
      </c>
      <c r="M50"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L</v>
      </c>
      <c r="N50"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L</v>
      </c>
      <c r="O50"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L</v>
      </c>
      <c r="P50"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50" s="21" t="str" cm="1">
        <f t="array" ref="Q50">_xlfn.SWITCH(Q108,4,"E",3,"H",2,"M",1,"L","N/A")</f>
        <v>M</v>
      </c>
      <c r="R50" s="21" t="str" cm="1">
        <f t="array" ref="R50">_xlfn.SWITCH(R108,4,"E",3,"H",2,"M",1,"L","N/A")</f>
        <v>H</v>
      </c>
      <c r="S50" s="21" t="str" cm="1">
        <f t="array" ref="S50">_xlfn.SWITCH(S108,4,"E",3,"H",2,"M",1,"L","N/A")</f>
        <v>E</v>
      </c>
      <c r="T50" s="21" t="str" cm="1">
        <f t="array" ref="T50">_xlfn.SWITCH(T108,4,"E",3,"H",2,"M",1,"L","N/A")</f>
        <v>L</v>
      </c>
      <c r="U50" s="21" t="str" cm="1">
        <f t="array" ref="U50">_xlfn.SWITCH(U108,4,"E",3,"H",2,"M",1,"L","N/A")</f>
        <v>M</v>
      </c>
      <c r="V50" s="21" t="str" cm="1">
        <f t="array" ref="V50">_xlfn.SWITCH(V108,4,"E",3,"H",2,"M",1,"L","N/A")</f>
        <v>L</v>
      </c>
      <c r="W50" s="21" t="str" cm="1">
        <f t="array" ref="W50">_xlfn.SWITCH(W108,4,"E",3,"H",2,"M",1,"L","N/A")</f>
        <v>M</v>
      </c>
      <c r="X50" s="21" t="str" cm="1">
        <f t="array" ref="X50">_xlfn.SWITCH(X108,4,"E",3,"H",2,"M",1,"L","N/A")</f>
        <v>M</v>
      </c>
      <c r="Y50" s="21" t="str" cm="1">
        <f t="array" ref="Y50">_xlfn.SWITCH(Y108,4,"E",3,"H",2,"M",1,"L","N/A")</f>
        <v>H</v>
      </c>
      <c r="Z50" s="21" t="str" cm="1">
        <f t="array" ref="Z50">_xlfn.SWITCH(Z108,4,"E",3,"H",2,"M",1,"L","N/A")</f>
        <v>E</v>
      </c>
      <c r="AA50" s="21" t="str" cm="1">
        <f t="array" ref="AA50">_xlfn.SWITCH(AA108,4,"E",3,"H",2,"M",1,"L","N/A")</f>
        <v>L</v>
      </c>
      <c r="AB50" s="21" t="str" cm="1">
        <f t="array" ref="AB50">_xlfn.SWITCH(AB108,4,"E",3,"H",2,"M",1,"L","N/A")</f>
        <v>M</v>
      </c>
      <c r="AC50" s="21" t="str" cm="1">
        <f t="array" ref="AC50">_xlfn.SWITCH(AC108,4,"E",3,"H",2,"M",1,"L","N/A")</f>
        <v>M</v>
      </c>
      <c r="AD50" s="21" t="str" cm="1">
        <f t="array" ref="AD50">_xlfn.SWITCH(AD108,4,"E",3,"H",2,"M",1,"L","N/A")</f>
        <v>M</v>
      </c>
    </row>
    <row r="51" spans="1:30" ht="18" x14ac:dyDescent="0.35">
      <c r="A51" s="79" t="s">
        <v>46</v>
      </c>
      <c r="B51" s="162" t="str">
        <f t="shared" si="1"/>
        <v>Office / Shop / Admin Activities</v>
      </c>
      <c r="C51"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M</v>
      </c>
      <c r="D51" t="str" cm="1">
        <f t="array" ref="D51">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M</v>
      </c>
      <c r="E51" t="str" cm="1">
        <f t="array" ref="E51">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51" t="str" cm="1">
        <f t="array" ref="F51">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M</v>
      </c>
      <c r="G51" t="str" cm="1">
        <f t="array" ref="G51">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51" t="str" cm="1">
        <f t="array" ref="H51">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51"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M</v>
      </c>
      <c r="J51"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M</v>
      </c>
      <c r="K51"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L</v>
      </c>
      <c r="L51"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M</v>
      </c>
      <c r="M51"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M</v>
      </c>
      <c r="N51"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51"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N/A</v>
      </c>
      <c r="P51"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51" s="21" t="str" cm="1">
        <f t="array" ref="Q51">_xlfn.SWITCH(Q109,4,"E",3,"H",2,"M",1,"L","N/A")</f>
        <v>H</v>
      </c>
      <c r="R51" s="21" t="str" cm="1">
        <f t="array" ref="R51">_xlfn.SWITCH(R109,4,"E",3,"H",2,"M",1,"L","N/A")</f>
        <v>M</v>
      </c>
      <c r="S51" s="21" t="str" cm="1">
        <f t="array" ref="S51">_xlfn.SWITCH(S109,4,"E",3,"H",2,"M",1,"L","N/A")</f>
        <v>H</v>
      </c>
      <c r="T51" s="21" t="str" cm="1">
        <f t="array" ref="T51">_xlfn.SWITCH(T109,4,"E",3,"H",2,"M",1,"L","N/A")</f>
        <v>H</v>
      </c>
      <c r="U51" s="21" t="str" cm="1">
        <f t="array" ref="U51">_xlfn.SWITCH(U109,4,"E",3,"H",2,"M",1,"L","N/A")</f>
        <v>N/A</v>
      </c>
      <c r="V51" s="21" t="str" cm="1">
        <f t="array" ref="V51">_xlfn.SWITCH(V109,4,"E",3,"H",2,"M",1,"L","N/A")</f>
        <v>N/A</v>
      </c>
      <c r="W51" s="21" t="str" cm="1">
        <f t="array" ref="W51">_xlfn.SWITCH(W109,4,"E",3,"H",2,"M",1,"L","N/A")</f>
        <v>H</v>
      </c>
      <c r="X51" s="21" t="str" cm="1">
        <f t="array" ref="X51">_xlfn.SWITCH(X109,4,"E",3,"H",2,"M",1,"L","N/A")</f>
        <v>H</v>
      </c>
      <c r="Y51" s="21" t="str" cm="1">
        <f t="array" ref="Y51">_xlfn.SWITCH(Y109,4,"E",3,"H",2,"M",1,"L","N/A")</f>
        <v>H</v>
      </c>
      <c r="Z51" s="21" t="str" cm="1">
        <f t="array" ref="Z51">_xlfn.SWITCH(Z109,4,"E",3,"H",2,"M",1,"L","N/A")</f>
        <v>E</v>
      </c>
      <c r="AA51" s="21" t="str" cm="1">
        <f t="array" ref="AA51">_xlfn.SWITCH(AA109,4,"E",3,"H",2,"M",1,"L","N/A")</f>
        <v>E</v>
      </c>
      <c r="AB51" s="21" t="str" cm="1">
        <f t="array" ref="AB51">_xlfn.SWITCH(AB109,4,"E",3,"H",2,"M",1,"L","N/A")</f>
        <v>N/A</v>
      </c>
      <c r="AC51" s="21" t="str" cm="1">
        <f t="array" ref="AC51">_xlfn.SWITCH(AC109,4,"E",3,"H",2,"M",1,"L","N/A")</f>
        <v>N/A</v>
      </c>
      <c r="AD51" s="21" t="str" cm="1">
        <f t="array" ref="AD51">_xlfn.SWITCH(AD109,4,"E",3,"H",2,"M",1,"L","N/A")</f>
        <v>E</v>
      </c>
    </row>
    <row r="52" spans="1:30" ht="18" x14ac:dyDescent="0.35">
      <c r="A52" s="79" t="s">
        <v>46</v>
      </c>
      <c r="B52" s="162" t="str">
        <f t="shared" si="1"/>
        <v>Goods Supply Activities</v>
      </c>
      <c r="C52" s="2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M</v>
      </c>
      <c r="D52" t="str" cm="1">
        <f t="array" ref="D52">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H</v>
      </c>
      <c r="E52" t="str" cm="1">
        <f t="array" ref="E52">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52" t="str" cm="1">
        <f t="array" ref="F52">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M</v>
      </c>
      <c r="G52" t="str" cm="1">
        <f t="array" ref="G52">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M</v>
      </c>
      <c r="H52" t="str" cm="1">
        <f t="array" ref="H52">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L</v>
      </c>
      <c r="I52" s="19"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M</v>
      </c>
      <c r="J52"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M</v>
      </c>
      <c r="K52"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L</v>
      </c>
      <c r="L52"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M</v>
      </c>
      <c r="M52"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L</v>
      </c>
      <c r="N52"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M</v>
      </c>
      <c r="O52"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L</v>
      </c>
      <c r="P52"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52" s="21" t="str" cm="1">
        <f t="array" ref="Q52">_xlfn.SWITCH(Q110,4,"E",3,"H",2,"M",1,"L","N/A")</f>
        <v>H</v>
      </c>
      <c r="R52" s="21" t="str" cm="1">
        <f t="array" ref="R52">_xlfn.SWITCH(R110,4,"E",3,"H",2,"M",1,"L","N/A")</f>
        <v>M</v>
      </c>
      <c r="S52" s="21" t="str" cm="1">
        <f t="array" ref="S52">_xlfn.SWITCH(S110,4,"E",3,"H",2,"M",1,"L","N/A")</f>
        <v>H</v>
      </c>
      <c r="T52" s="21" t="str" cm="1">
        <f t="array" ref="T52">_xlfn.SWITCH(T110,4,"E",3,"H",2,"M",1,"L","N/A")</f>
        <v>L</v>
      </c>
      <c r="U52" s="21" t="str" cm="1">
        <f t="array" ref="U52">_xlfn.SWITCH(U110,4,"E",3,"H",2,"M",1,"L","N/A")</f>
        <v>H</v>
      </c>
      <c r="V52" s="21" t="str" cm="1">
        <f t="array" ref="V52">_xlfn.SWITCH(V110,4,"E",3,"H",2,"M",1,"L","N/A")</f>
        <v>M</v>
      </c>
      <c r="W52" s="21" t="str" cm="1">
        <f t="array" ref="W52">_xlfn.SWITCH(W110,4,"E",3,"H",2,"M",1,"L","N/A")</f>
        <v>H</v>
      </c>
      <c r="X52" s="21" t="str" cm="1">
        <f t="array" ref="X52">_xlfn.SWITCH(X110,4,"E",3,"H",2,"M",1,"L","N/A")</f>
        <v>H</v>
      </c>
      <c r="Y52" s="21" t="str" cm="1">
        <f t="array" ref="Y52">_xlfn.SWITCH(Y110,4,"E",3,"H",2,"M",1,"L","N/A")</f>
        <v>H</v>
      </c>
      <c r="Z52" s="21" t="str" cm="1">
        <f t="array" ref="Z52">_xlfn.SWITCH(Z110,4,"E",3,"H",2,"M",1,"L","N/A")</f>
        <v>E</v>
      </c>
      <c r="AA52" s="21" t="str" cm="1">
        <f t="array" ref="AA52">_xlfn.SWITCH(AA110,4,"E",3,"H",2,"M",1,"L","N/A")</f>
        <v>H</v>
      </c>
      <c r="AB52" s="21" t="str" cm="1">
        <f t="array" ref="AB52">_xlfn.SWITCH(AB110,4,"E",3,"H",2,"M",1,"L","N/A")</f>
        <v>E</v>
      </c>
      <c r="AC52" s="21" t="str" cm="1">
        <f t="array" ref="AC52">_xlfn.SWITCH(AC110,4,"E",3,"H",2,"M",1,"L","N/A")</f>
        <v>H</v>
      </c>
      <c r="AD52" s="21" t="str" cm="1">
        <f t="array" ref="AD52">_xlfn.SWITCH(AD110,4,"E",3,"H",2,"M",1,"L","N/A")</f>
        <v>E</v>
      </c>
    </row>
    <row r="53" spans="1:30" ht="18" x14ac:dyDescent="0.35">
      <c r="A53" s="77" t="s">
        <v>46</v>
      </c>
      <c r="B53" s="163" t="str">
        <f t="shared" si="1"/>
        <v>Construction Activities</v>
      </c>
      <c r="C53" s="103" t="str">
        <f>IF(_xlfn.XLOOKUP(VEValuesADJUSTED[[#This Row],[Elements at Risk]],'Response Form'!$C$127:$C$149,'Response Form'!$E$127:$E$149,"",0)="",_xlfn.XLOOKUP(VEValuesADJUSTED[[#This Row],[Elements at Risk]],VEValuesFIXED[Elements at Risk],VEValuesFIXED[V - Coastal Inundation],"",0),_xlfn.XLOOKUP(VEValuesADJUSTED[[#This Row],[Elements at Risk]],'Response Form'!$C$127:$C$149,'Response Form'!$E$127:$E$149,"",0))</f>
        <v>M</v>
      </c>
      <c r="D53" s="17" t="str" cm="1">
        <f t="array" ref="D53">IF(_xlfn.XLOOKUP(VEValuesADJUSTED[[#This Row],[Elements at Risk]],'Response Form'!$C$127:$C$149,'Response Form'!$G$127:$G$149,"",0)="",_xlfn.XLOOKUP(VEValuesADJUSTED[[#This Row],[Elements at Risk]],VEValuesFIXED[Elements at Risk],VEValuesFIXED[V - Extreme Rainfall],"",0),_xlfn.XLOOKUP(VEValuesADJUSTED[[#This Row],[Elements at Risk]],'Response Form'!$C$127:$C$149,'Response Form'!$G$127:$G$149,"",0))</f>
        <v>M</v>
      </c>
      <c r="E53" s="17" t="str" cm="1">
        <f t="array" ref="E53">IF(_xlfn.XLOOKUP(VEValuesADJUSTED[[#This Row],[Elements at Risk]],'Response Form'!$C$127:$C$149,'Response Form'!$I$127:$I$149,"",0)="",_xlfn.XLOOKUP(VEValuesADJUSTED[[#This Row],[Elements at Risk]],VEValuesFIXED[Elements at Risk],VEValuesFIXED[V - Tropical Cyclone],"",0),_xlfn.XLOOKUP(VEValuesADJUSTED[[#This Row],[Elements at Risk]],'Response Form'!$C$127:$C$149,'Response Form'!$I$127:$I$149,"",0))</f>
        <v>H</v>
      </c>
      <c r="F53" s="17" t="str" cm="1">
        <f t="array" ref="F53">IF(_xlfn.XLOOKUP(VEValuesADJUSTED[[#This Row],[Elements at Risk]],'Response Form'!$C$127:$C$149,'Response Form'!$K$127:$K$149,"",0)="",_xlfn.XLOOKUP(VEValuesADJUSTED[[#This Row],[Elements at Risk]],VEValuesFIXED[Elements at Risk],VEValuesFIXED[V - Drought],"",0),_xlfn.XLOOKUP(VEValuesADJUSTED[[#This Row],[Elements at Risk]],'Response Form'!$C$127:$C$149,'Response Form'!$K$127:$K$149,"",0))</f>
        <v>M</v>
      </c>
      <c r="G53" s="17" t="str" cm="1">
        <f t="array" ref="G53">IF(_xlfn.XLOOKUP(VEValuesADJUSTED[[#This Row],[Elements at Risk]],'Response Form'!$C$127:$C$149,'Response Form'!$M$127:$M$149,"",0)="",_xlfn.XLOOKUP(VEValuesADJUSTED[[#This Row],[Elements at Risk]],VEValuesFIXED[Elements at Risk],VEValuesFIXED[V - Marine Heat Waves],"",0),_xlfn.XLOOKUP(VEValuesADJUSTED[[#This Row],[Elements at Risk]],'Response Form'!$C$127:$C$149,'Response Form'!$M$127:$M$149,"",0))</f>
        <v>N/A</v>
      </c>
      <c r="H53" s="17" t="str" cm="1">
        <f t="array" ref="H53">IF(_xlfn.XLOOKUP(VEValuesADJUSTED[[#This Row],[Elements at Risk]],'Response Form'!$C$127:$C$149,'Response Form'!$O$127:$O$149,"",0)="",_xlfn.XLOOKUP(VEValuesADJUSTED[[#This Row],[Elements at Risk]],VEValuesFIXED[Elements at Risk],VEValuesFIXED[V - Ocean Acidification],"",0),_xlfn.XLOOKUP(VEValuesADJUSTED[[#This Row],[Elements at Risk]],'Response Form'!$C$127:$C$149,'Response Form'!$O$127:$O$149,"",0))</f>
        <v>N/A</v>
      </c>
      <c r="I53" s="97" t="str">
        <f>IF(_xlfn.XLOOKUP(VEValuesADJUSTED[[#This Row],[Elements at Risk]],'Response Form'!$C$127:$C$149,'Response Form'!$Q$127:$Q$149,"",0)="",_xlfn.XLOOKUP(VEValuesADJUSTED[[#This Row],[Elements at Risk]],VEValuesFIXED[Elements at Risk],VEValuesFIXED[V - Extreme Temperature],"",0),_xlfn.XLOOKUP(VEValuesADJUSTED[[#This Row],[Elements at Risk]],'Response Form'!$C$127:$C$149,'Response Form'!$Q$127:$Q$149,"",0))</f>
        <v>H</v>
      </c>
      <c r="J53" s="21" t="str">
        <f>IF(_xlfn.XLOOKUP(VEValuesADJUSTED[[#This Row],[Elements at Risk]],'Response Form'!$C$82:$C$104,'Response Form'!$D$82:$D$104,"",0)="",_xlfn.XLOOKUP(VEValuesADJUSTED[[#This Row],[Elements at Risk]],VEValuesFIXED[Elements at Risk],VEValuesFIXED[EP - Coastal Inundation],"",0),_xlfn.XLOOKUP(VEValuesADJUSTED[[#This Row],[Elements at Risk]],'Response Form'!$C$82:$C$104,'Response Form'!$D$82:$D$104,"",0))</f>
        <v>L</v>
      </c>
      <c r="K53" s="21" t="str">
        <f>IF(_xlfn.XLOOKUP(VEValuesADJUSTED[[#This Row],[Elements at Risk]],'Response Form'!$C$82:$C$104,'Response Form'!$F$82:$F$104,"",0)="",_xlfn.XLOOKUP(VEValuesADJUSTED[[#This Row],[Elements at Risk]],VEValuesFIXED[Elements at Risk],VEValuesFIXED[EP - Extreme Rainfall],"",0),_xlfn.XLOOKUP(VEValuesADJUSTED[[#This Row],[Elements at Risk]],'Response Form'!$C$82:$C$104,'Response Form'!$F$82:$F$104,"",0))</f>
        <v>H</v>
      </c>
      <c r="L53" s="50" t="str">
        <f>IF(_xlfn.XLOOKUP(VEValuesADJUSTED[[#This Row],[Elements at Risk]],'Response Form'!$C$82:$C$104,'Response Form'!$H$82:$H$104,"",0)="",_xlfn.XLOOKUP(VEValuesADJUSTED[[#This Row],[Elements at Risk]],VEValuesFIXED[Elements at Risk],VEValuesFIXED[EP - Tropical Cyclone],"",0),_xlfn.XLOOKUP(VEValuesADJUSTED[[#This Row],[Elements at Risk]],'Response Form'!$C$82:$C$104,'Response Form'!$H$82:$H$104,"",0))</f>
        <v>M</v>
      </c>
      <c r="M53" s="50" t="str">
        <f>IF(_xlfn.XLOOKUP(VEValuesADJUSTED[[#This Row],[Elements at Risk]],'Response Form'!$C$82:$C$104,'Response Form'!$J$82:$J$104,"",0)="",_xlfn.XLOOKUP(VEValuesADJUSTED[[#This Row],[Elements at Risk]],VEValuesFIXED[Elements at Risk],VEValuesFIXED[EP - Drought],"",0),_xlfn.XLOOKUP(VEValuesADJUSTED[[#This Row],[Elements at Risk]],'Response Form'!$C$82:$C$104,'Response Form'!$J$82:$J$104,"",0))</f>
        <v>M</v>
      </c>
      <c r="N53" s="50" t="str">
        <f>IF(_xlfn.XLOOKUP(VEValuesADJUSTED[[#This Row],[Elements at Risk]],'Response Form'!$C$82:$C$104,'Response Form'!$L$82:$L$104,"",0)="",_xlfn.XLOOKUP(VEValuesADJUSTED[[#This Row],[Elements at Risk]],VEValuesFIXED[Elements at Risk],VEValuesFIXED[EP - Marine Heat Waves],"",0),_xlfn.XLOOKUP(VEValuesADJUSTED[[#This Row],[Elements at Risk]],'Response Form'!$C$82:$C$104,'Response Form'!$L$82:$L$104,"",0))</f>
        <v>N/A</v>
      </c>
      <c r="O53" s="50" t="str">
        <f>IF(_xlfn.XLOOKUP(VEValuesADJUSTED[[#This Row],[Elements at Risk]],'Response Form'!$C$82:$C$104,'Response Form'!$N$82:$N$104,"",0)="",_xlfn.XLOOKUP(VEValuesADJUSTED[[#This Row],[Elements at Risk]],VEValuesFIXED[Elements at Risk],VEValuesFIXED[EP - Ocean Acidification],"",0),_xlfn.XLOOKUP(VEValuesADJUSTED[[#This Row],[Elements at Risk]],'Response Form'!$C$82:$C$104,'Response Form'!$N$82:$N$104,"",0))</f>
        <v>L</v>
      </c>
      <c r="P53" s="95" t="str">
        <f>IF(_xlfn.XLOOKUP(VEValuesADJUSTED[[#This Row],[Elements at Risk]],'Response Form'!$C$82:$C$104,'Response Form'!$P$82:$P$104,"",0)="",_xlfn.XLOOKUP(VEValuesADJUSTED[[#This Row],[Elements at Risk]],VEValuesFIXED[Elements at Risk],VEValuesFIXED[EP - Extreme Temperature],"",0),_xlfn.XLOOKUP(VEValuesADJUSTED[[#This Row],[Elements at Risk]],'Response Form'!$C$82:$C$104,'Response Form'!$P$82:$P$104,"",0))</f>
        <v>M</v>
      </c>
      <c r="Q53" s="21" t="str" cm="1">
        <f t="array" ref="Q53">_xlfn.SWITCH(Q111,4,"E",3,"H",2,"M",1,"L","N/A")</f>
        <v>H</v>
      </c>
      <c r="R53" s="21" t="str" cm="1">
        <f t="array" ref="R53">_xlfn.SWITCH(R111,4,"E",3,"H",2,"M",1,"L","N/A")</f>
        <v>H</v>
      </c>
      <c r="S53" s="21" t="str" cm="1">
        <f t="array" ref="S53">_xlfn.SWITCH(S111,4,"E",3,"H",2,"M",1,"L","N/A")</f>
        <v>H</v>
      </c>
      <c r="T53" s="21" t="str" cm="1">
        <f t="array" ref="T53">_xlfn.SWITCH(T111,4,"E",3,"H",2,"M",1,"L","N/A")</f>
        <v>H</v>
      </c>
      <c r="U53" s="21" t="str" cm="1">
        <f t="array" ref="U53">_xlfn.SWITCH(U111,4,"E",3,"H",2,"M",1,"L","N/A")</f>
        <v>N/A</v>
      </c>
      <c r="V53" s="21" t="str" cm="1">
        <f t="array" ref="V53">_xlfn.SWITCH(V111,4,"E",3,"H",2,"M",1,"L","N/A")</f>
        <v>H</v>
      </c>
      <c r="W53" s="21" t="str" cm="1">
        <f t="array" ref="W53">_xlfn.SWITCH(W111,4,"E",3,"H",2,"M",1,"L","N/A")</f>
        <v>H</v>
      </c>
      <c r="X53" s="21" t="str" cm="1">
        <f t="array" ref="X53">_xlfn.SWITCH(X111,4,"E",3,"H",2,"M",1,"L","N/A")</f>
        <v>H</v>
      </c>
      <c r="Y53" s="21" t="str" cm="1">
        <f t="array" ref="Y53">_xlfn.SWITCH(Y111,4,"E",3,"H",2,"M",1,"L","N/A")</f>
        <v>H</v>
      </c>
      <c r="Z53" s="21" t="str" cm="1">
        <f t="array" ref="Z53">_xlfn.SWITCH(Z111,4,"E",3,"H",2,"M",1,"L","N/A")</f>
        <v>E</v>
      </c>
      <c r="AA53" s="21" t="str" cm="1">
        <f t="array" ref="AA53">_xlfn.SWITCH(AA111,4,"E",3,"H",2,"M",1,"L","N/A")</f>
        <v>H</v>
      </c>
      <c r="AB53" s="21" t="str" cm="1">
        <f t="array" ref="AB53">_xlfn.SWITCH(AB111,4,"E",3,"H",2,"M",1,"L","N/A")</f>
        <v>N/A</v>
      </c>
      <c r="AC53" s="21" t="str" cm="1">
        <f t="array" ref="AC53">_xlfn.SWITCH(AC111,4,"E",3,"H",2,"M",1,"L","N/A")</f>
        <v>H</v>
      </c>
      <c r="AD53" s="21" t="str" cm="1">
        <f t="array" ref="AD53">_xlfn.SWITCH(AD111,4,"E",3,"H",2,"M",1,"L","N/A")</f>
        <v>E</v>
      </c>
    </row>
    <row r="54" spans="1:30" x14ac:dyDescent="0.35">
      <c r="B54" s="22"/>
    </row>
    <row r="59" spans="1:30" ht="18" x14ac:dyDescent="0.35">
      <c r="J59" s="92" t="s">
        <v>298</v>
      </c>
      <c r="Q59" t="s">
        <v>299</v>
      </c>
    </row>
    <row r="61" spans="1:30" x14ac:dyDescent="0.35">
      <c r="I61" t="str">
        <f>B4</f>
        <v>Coastal / Marine Ecosystems</v>
      </c>
      <c r="J61" s="21" cm="1">
        <f t="array" ref="J61:J83">_xlfn.SWITCH(VEValuesFIXED[E2050 - Coastal Inundation],"E",4,"H",3,"M",2,"L",1,0)-(_xlfn.SWITCH(VEValuesFIXED[EP - Coastal Inundation],"E",4,"H",3,"M",2,"L",1,0))</f>
        <v>1</v>
      </c>
      <c r="K61" s="50" cm="1">
        <f t="array" ref="K61:K83">_xlfn.SWITCH(VEValuesFIXED[E2050 - Extreme Rainfall],"E",4,"H",3,"M",2,"L",1,0)-(_xlfn.SWITCH(VEValuesFIXED[EP - Extreme Rainfall],"E",4,"H",3,"M",2,"L",1,0))</f>
        <v>0</v>
      </c>
      <c r="L61" s="50" cm="1">
        <f t="array" ref="L61:L83">_xlfn.SWITCH(VEValuesFIXED[E2050 - Tropical Cyclone],"E",4,"H",3,"M",2,"L",1,0)-(_xlfn.SWITCH(VEValuesFIXED[EP - Tropical Cyclone],"E",4,"H",3,"M",2,"L",1,0))</f>
        <v>1</v>
      </c>
      <c r="M61" s="50" cm="1">
        <f t="array" ref="M61:M83">_xlfn.SWITCH(VEValuesFIXED[E2050 - Drought],"E",4,"H",3,"M",2,"L",1,0)-(_xlfn.SWITCH(VEValuesFIXED[EP - Drought],"E",4,"H",3,"M",2,"L",1,0))</f>
        <v>0</v>
      </c>
      <c r="N61" s="50" cm="1">
        <f t="array" ref="N61:N83">_xlfn.SWITCH(VEValuesFIXED[E2050 - Marine Heat Waves],"E",4,"H",3,"M",2,"L",1,0)-(_xlfn.SWITCH(VEValuesFIXED[EP - Marine Heat Waves],"E",4,"H",3,"M",2,"L",1,0))</f>
        <v>1</v>
      </c>
      <c r="O61" s="50" cm="1">
        <f t="array" ref="O61:O83">_xlfn.SWITCH(VEValuesFIXED[E2050 - Ocean Acidification],"E",4,"H",3,"M",2,"L",1,0)-(_xlfn.SWITCH(VEValuesFIXED[EP - Ocean Acidification],"E",4,"H",3,"M",2,"L",1,0))</f>
        <v>0</v>
      </c>
      <c r="P61" s="95" cm="1">
        <f t="array" ref="P61:P83">_xlfn.SWITCH(VEValuesFIXED[E2050 - Extreme Temperature],"E",4,"H",3,"M",2,"L",1,0)-(_xlfn.SWITCH(VEValuesFIXED[EP - Extreme Temperature],"E",4,"H",3,"M",2,"L",1,0))</f>
        <v>1</v>
      </c>
      <c r="Q61" s="21" cm="1">
        <f t="array" ref="Q61:Q83">_xlfn.SWITCH(VEValuesFIXED[E2100 - Coastal Inundation],"E",4,"H",3,"M",2,"L",1,0)-(_xlfn.SWITCH(VEValuesFIXED[E2050 - Coastal Inundation],"E",4,"H",3,"M",2,"L",1,0))</f>
        <v>1</v>
      </c>
      <c r="R61" s="50" cm="1">
        <f t="array" ref="R61:R83">_xlfn.SWITCH(VEValuesFIXED[E2100 - Extreme Rainfall],"E",4,"H",3,"M",2,"L",1,0)-(_xlfn.SWITCH(VEValuesFIXED[E2050 - Extreme Rainfall],"E",4,"H",3,"M",2,"L",1,0))</f>
        <v>1</v>
      </c>
      <c r="S61" s="50" cm="1">
        <f t="array" ref="S61:S83">_xlfn.SWITCH(VEValuesFIXED[E2100 - Tropical Cyclone],"E",4,"H",3,"M",2,"L",1,0)-(_xlfn.SWITCH(VEValuesFIXED[E2050 - Tropical Cyclone],"E",4,"H",3,"M",2,"L",1,0))</f>
        <v>0</v>
      </c>
      <c r="T61" s="50" cm="1">
        <f t="array" ref="T61:T83">_xlfn.SWITCH(VEValuesFIXED[E2100 - Drought],"E",4,"H",3,"M",2,"L",1,0)-(_xlfn.SWITCH(VEValuesFIXED[E2050 - Drought],"E",4,"H",3,"M",2,"L",1,0))</f>
        <v>0</v>
      </c>
      <c r="U61" s="50" cm="1">
        <f t="array" ref="U61:U83">_xlfn.SWITCH(VEValuesFIXED[E2100 - Marine Heat Waves],"E",4,"H",3,"M",2,"L",1,0)-(_xlfn.SWITCH(VEValuesFIXED[E2050 - Marine Heat Waves],"E",4,"H",3,"M",2,"L",1,0))</f>
        <v>0</v>
      </c>
      <c r="V61" s="50" cm="1">
        <f t="array" ref="V61:V83">_xlfn.SWITCH(VEValuesFIXED[E2100 - Ocean Acidification],"E",4,"H",3,"M",2,"L",1,0)-(_xlfn.SWITCH(VEValuesFIXED[E2050 - Ocean Acidification],"E",4,"H",3,"M",2,"L",1,0))</f>
        <v>1</v>
      </c>
      <c r="W61" s="95" cm="1">
        <f t="array" ref="W61:W83">_xlfn.SWITCH(VEValuesFIXED[E2100 - Extreme Temperature],"E",4,"H",3,"M",2,"L",1,0)-(_xlfn.SWITCH(VEValuesFIXED[E2050 - Extreme Temperature],"E",4,"H",3,"M",2,"L",1,0))</f>
        <v>0</v>
      </c>
    </row>
    <row r="62" spans="1:30" x14ac:dyDescent="0.35">
      <c r="I62" t="str">
        <f t="shared" ref="I62:I83" si="2">B5</f>
        <v>Terrestrial Ecosystems</v>
      </c>
      <c r="J62" s="23">
        <v>1</v>
      </c>
      <c r="K62">
        <v>1</v>
      </c>
      <c r="L62">
        <v>1</v>
      </c>
      <c r="M62">
        <v>1</v>
      </c>
      <c r="N62">
        <v>0</v>
      </c>
      <c r="O62">
        <v>0</v>
      </c>
      <c r="P62" s="19">
        <v>1</v>
      </c>
      <c r="Q62" s="23">
        <v>1</v>
      </c>
      <c r="R62">
        <v>1</v>
      </c>
      <c r="S62">
        <v>0</v>
      </c>
      <c r="T62">
        <v>2</v>
      </c>
      <c r="U62">
        <v>0</v>
      </c>
      <c r="V62">
        <v>0</v>
      </c>
      <c r="W62" s="19">
        <v>0</v>
      </c>
    </row>
    <row r="63" spans="1:30" x14ac:dyDescent="0.35">
      <c r="I63" t="str">
        <f t="shared" si="2"/>
        <v>Freshwater Ecosystems</v>
      </c>
      <c r="J63" s="23">
        <v>2</v>
      </c>
      <c r="K63">
        <v>1</v>
      </c>
      <c r="L63">
        <v>1</v>
      </c>
      <c r="M63">
        <v>1</v>
      </c>
      <c r="N63">
        <v>0</v>
      </c>
      <c r="O63">
        <v>0</v>
      </c>
      <c r="P63" s="19">
        <v>1</v>
      </c>
      <c r="Q63" s="23">
        <v>0</v>
      </c>
      <c r="R63">
        <v>0</v>
      </c>
      <c r="S63">
        <v>0</v>
      </c>
      <c r="T63">
        <v>1</v>
      </c>
      <c r="U63">
        <v>0</v>
      </c>
      <c r="V63">
        <v>0</v>
      </c>
      <c r="W63" s="19">
        <v>0</v>
      </c>
    </row>
    <row r="64" spans="1:30" x14ac:dyDescent="0.35">
      <c r="I64" t="str">
        <f t="shared" si="2"/>
        <v>Inhabited Buildings</v>
      </c>
      <c r="J64" s="23">
        <v>1</v>
      </c>
      <c r="K64">
        <v>0</v>
      </c>
      <c r="L64">
        <v>1</v>
      </c>
      <c r="M64">
        <v>1</v>
      </c>
      <c r="N64">
        <v>0</v>
      </c>
      <c r="O64">
        <v>0</v>
      </c>
      <c r="P64" s="19">
        <v>1</v>
      </c>
      <c r="Q64" s="23">
        <v>1</v>
      </c>
      <c r="R64">
        <v>1</v>
      </c>
      <c r="S64">
        <v>0</v>
      </c>
      <c r="T64">
        <v>1</v>
      </c>
      <c r="U64">
        <v>0</v>
      </c>
      <c r="V64">
        <v>0</v>
      </c>
      <c r="W64" s="19">
        <v>1</v>
      </c>
    </row>
    <row r="65" spans="9:23" x14ac:dyDescent="0.35">
      <c r="I65" t="str">
        <f t="shared" si="2"/>
        <v>Ports / Wharves</v>
      </c>
      <c r="J65" s="23">
        <v>1</v>
      </c>
      <c r="K65">
        <v>0</v>
      </c>
      <c r="L65">
        <v>1</v>
      </c>
      <c r="M65">
        <v>1</v>
      </c>
      <c r="N65">
        <v>0</v>
      </c>
      <c r="O65">
        <v>1</v>
      </c>
      <c r="P65" s="19">
        <v>1</v>
      </c>
      <c r="Q65" s="23">
        <v>1</v>
      </c>
      <c r="R65">
        <v>1</v>
      </c>
      <c r="S65">
        <v>0</v>
      </c>
      <c r="T65">
        <v>0</v>
      </c>
      <c r="U65">
        <v>0</v>
      </c>
      <c r="V65">
        <v>0</v>
      </c>
      <c r="W65" s="19">
        <v>0</v>
      </c>
    </row>
    <row r="66" spans="9:23" x14ac:dyDescent="0.35">
      <c r="I66" t="str">
        <f t="shared" si="2"/>
        <v>Airports / Airfields</v>
      </c>
      <c r="J66" s="23">
        <v>1</v>
      </c>
      <c r="K66">
        <v>0</v>
      </c>
      <c r="L66">
        <v>1</v>
      </c>
      <c r="M66">
        <v>1</v>
      </c>
      <c r="N66">
        <v>0</v>
      </c>
      <c r="O66">
        <v>0</v>
      </c>
      <c r="P66" s="19">
        <v>1</v>
      </c>
      <c r="Q66" s="23">
        <v>1</v>
      </c>
      <c r="R66">
        <v>1</v>
      </c>
      <c r="S66">
        <v>0</v>
      </c>
      <c r="T66">
        <v>1</v>
      </c>
      <c r="U66">
        <v>0</v>
      </c>
      <c r="V66">
        <v>0</v>
      </c>
      <c r="W66" s="19">
        <v>0</v>
      </c>
    </row>
    <row r="67" spans="9:23" x14ac:dyDescent="0.35">
      <c r="I67" t="str">
        <f t="shared" si="2"/>
        <v>Telecommunications</v>
      </c>
      <c r="J67" s="23">
        <v>0</v>
      </c>
      <c r="K67">
        <v>0</v>
      </c>
      <c r="L67">
        <v>1</v>
      </c>
      <c r="M67">
        <v>1</v>
      </c>
      <c r="N67">
        <v>0</v>
      </c>
      <c r="O67">
        <v>0</v>
      </c>
      <c r="P67" s="19">
        <v>0</v>
      </c>
      <c r="Q67" s="23">
        <v>1</v>
      </c>
      <c r="R67">
        <v>1</v>
      </c>
      <c r="S67">
        <v>0</v>
      </c>
      <c r="T67">
        <v>0</v>
      </c>
      <c r="U67">
        <v>0</v>
      </c>
      <c r="V67">
        <v>0</v>
      </c>
      <c r="W67" s="19">
        <v>2</v>
      </c>
    </row>
    <row r="68" spans="9:23" x14ac:dyDescent="0.35">
      <c r="I68" t="str">
        <f t="shared" si="2"/>
        <v>Electricity</v>
      </c>
      <c r="J68" s="23">
        <v>0</v>
      </c>
      <c r="K68">
        <v>0</v>
      </c>
      <c r="L68">
        <v>1</v>
      </c>
      <c r="M68">
        <v>1</v>
      </c>
      <c r="N68">
        <v>0</v>
      </c>
      <c r="O68">
        <v>0</v>
      </c>
      <c r="P68" s="19">
        <v>1</v>
      </c>
      <c r="Q68" s="23">
        <v>2</v>
      </c>
      <c r="R68">
        <v>1</v>
      </c>
      <c r="S68">
        <v>0</v>
      </c>
      <c r="T68">
        <v>0</v>
      </c>
      <c r="U68">
        <v>0</v>
      </c>
      <c r="V68">
        <v>0</v>
      </c>
      <c r="W68" s="19">
        <v>0</v>
      </c>
    </row>
    <row r="69" spans="9:23" x14ac:dyDescent="0.35">
      <c r="I69" t="str">
        <f t="shared" si="2"/>
        <v>Wastewater Infrastructure</v>
      </c>
      <c r="J69" s="23">
        <v>1</v>
      </c>
      <c r="K69">
        <v>0</v>
      </c>
      <c r="L69">
        <v>1</v>
      </c>
      <c r="M69">
        <v>1</v>
      </c>
      <c r="N69">
        <v>0</v>
      </c>
      <c r="O69">
        <v>0</v>
      </c>
      <c r="P69" s="19">
        <v>1</v>
      </c>
      <c r="Q69" s="23">
        <v>2</v>
      </c>
      <c r="R69">
        <v>1</v>
      </c>
      <c r="S69">
        <v>0</v>
      </c>
      <c r="T69">
        <v>1</v>
      </c>
      <c r="U69">
        <v>0</v>
      </c>
      <c r="V69">
        <v>0</v>
      </c>
      <c r="W69" s="19">
        <v>0</v>
      </c>
    </row>
    <row r="70" spans="9:23" x14ac:dyDescent="0.35">
      <c r="I70" t="str">
        <f t="shared" si="2"/>
        <v>Transportation Assets</v>
      </c>
      <c r="J70" s="23">
        <v>2</v>
      </c>
      <c r="K70">
        <v>0</v>
      </c>
      <c r="L70">
        <v>1</v>
      </c>
      <c r="M70">
        <v>0</v>
      </c>
      <c r="N70">
        <v>0</v>
      </c>
      <c r="O70">
        <v>0</v>
      </c>
      <c r="P70" s="19">
        <v>1</v>
      </c>
      <c r="Q70" s="23">
        <v>1</v>
      </c>
      <c r="R70">
        <v>1</v>
      </c>
      <c r="S70">
        <v>0</v>
      </c>
      <c r="T70">
        <v>1</v>
      </c>
      <c r="U70">
        <v>0</v>
      </c>
      <c r="V70">
        <v>0</v>
      </c>
      <c r="W70" s="19">
        <v>0</v>
      </c>
    </row>
    <row r="71" spans="9:23" x14ac:dyDescent="0.35">
      <c r="I71" t="str">
        <f t="shared" si="2"/>
        <v>Water Supply</v>
      </c>
      <c r="J71" s="23">
        <v>1</v>
      </c>
      <c r="K71">
        <v>1</v>
      </c>
      <c r="L71">
        <v>1</v>
      </c>
      <c r="M71">
        <v>1</v>
      </c>
      <c r="N71">
        <v>0</v>
      </c>
      <c r="O71">
        <v>0</v>
      </c>
      <c r="P71" s="19">
        <v>1</v>
      </c>
      <c r="Q71" s="23">
        <v>1</v>
      </c>
      <c r="R71">
        <v>1</v>
      </c>
      <c r="S71">
        <v>0</v>
      </c>
      <c r="T71">
        <v>1</v>
      </c>
      <c r="U71">
        <v>0</v>
      </c>
      <c r="V71">
        <v>0</v>
      </c>
      <c r="W71" s="19">
        <v>1</v>
      </c>
    </row>
    <row r="72" spans="9:23" x14ac:dyDescent="0.35">
      <c r="I72" t="str">
        <f t="shared" si="2"/>
        <v>Stormwater / Flood Management</v>
      </c>
      <c r="J72" s="23">
        <v>1</v>
      </c>
      <c r="K72">
        <v>0</v>
      </c>
      <c r="L72">
        <v>1</v>
      </c>
      <c r="M72">
        <v>0</v>
      </c>
      <c r="N72">
        <v>0</v>
      </c>
      <c r="O72">
        <v>0</v>
      </c>
      <c r="P72" s="19">
        <v>0</v>
      </c>
      <c r="Q72" s="23">
        <v>1</v>
      </c>
      <c r="R72">
        <v>1</v>
      </c>
      <c r="S72">
        <v>0</v>
      </c>
      <c r="T72">
        <v>0</v>
      </c>
      <c r="U72">
        <v>0</v>
      </c>
      <c r="V72">
        <v>0</v>
      </c>
      <c r="W72" s="19">
        <v>1</v>
      </c>
    </row>
    <row r="73" spans="9:23" x14ac:dyDescent="0.35">
      <c r="I73" t="str">
        <f t="shared" si="2"/>
        <v>Uninhabited Buildings</v>
      </c>
      <c r="J73" s="23">
        <v>1</v>
      </c>
      <c r="K73">
        <v>0</v>
      </c>
      <c r="L73">
        <v>1</v>
      </c>
      <c r="M73">
        <v>1</v>
      </c>
      <c r="N73">
        <v>0</v>
      </c>
      <c r="O73">
        <v>0</v>
      </c>
      <c r="P73" s="19">
        <v>1</v>
      </c>
      <c r="Q73" s="23">
        <v>1</v>
      </c>
      <c r="R73">
        <v>1</v>
      </c>
      <c r="S73">
        <v>0</v>
      </c>
      <c r="T73">
        <v>1</v>
      </c>
      <c r="U73">
        <v>0</v>
      </c>
      <c r="V73">
        <v>0</v>
      </c>
      <c r="W73" s="19">
        <v>0</v>
      </c>
    </row>
    <row r="74" spans="9:23" x14ac:dyDescent="0.35">
      <c r="I74" t="str">
        <f t="shared" si="2"/>
        <v>Evacuation Structures</v>
      </c>
      <c r="J74" s="23">
        <v>1</v>
      </c>
      <c r="K74">
        <v>0</v>
      </c>
      <c r="L74">
        <v>1</v>
      </c>
      <c r="M74">
        <v>0</v>
      </c>
      <c r="N74">
        <v>0</v>
      </c>
      <c r="O74">
        <v>0</v>
      </c>
      <c r="P74" s="19">
        <v>1</v>
      </c>
      <c r="Q74" s="23">
        <v>1</v>
      </c>
      <c r="R74">
        <v>2</v>
      </c>
      <c r="S74">
        <v>1</v>
      </c>
      <c r="T74">
        <v>0</v>
      </c>
      <c r="U74">
        <v>0</v>
      </c>
      <c r="V74">
        <v>0</v>
      </c>
      <c r="W74" s="19">
        <v>0</v>
      </c>
    </row>
    <row r="75" spans="9:23" x14ac:dyDescent="0.35">
      <c r="I75" t="str">
        <f t="shared" si="2"/>
        <v>Outdoor Land Activities</v>
      </c>
      <c r="J75" s="23">
        <v>0</v>
      </c>
      <c r="K75">
        <v>0</v>
      </c>
      <c r="L75">
        <v>1</v>
      </c>
      <c r="M75">
        <v>1</v>
      </c>
      <c r="N75">
        <v>0</v>
      </c>
      <c r="O75">
        <v>0</v>
      </c>
      <c r="P75" s="19">
        <v>1</v>
      </c>
      <c r="Q75" s="23">
        <v>1</v>
      </c>
      <c r="R75">
        <v>0</v>
      </c>
      <c r="S75">
        <v>0</v>
      </c>
      <c r="T75">
        <v>1</v>
      </c>
      <c r="U75">
        <v>0</v>
      </c>
      <c r="V75">
        <v>0</v>
      </c>
      <c r="W75" s="19">
        <v>1</v>
      </c>
    </row>
    <row r="76" spans="9:23" x14ac:dyDescent="0.35">
      <c r="I76" t="str">
        <f t="shared" si="2"/>
        <v>Outdoor Marine Activities</v>
      </c>
      <c r="J76" s="23">
        <v>0</v>
      </c>
      <c r="K76">
        <v>0</v>
      </c>
      <c r="L76">
        <v>1</v>
      </c>
      <c r="M76">
        <v>0</v>
      </c>
      <c r="N76">
        <v>1</v>
      </c>
      <c r="O76">
        <v>1</v>
      </c>
      <c r="P76" s="19">
        <v>1</v>
      </c>
      <c r="Q76" s="23">
        <v>1</v>
      </c>
      <c r="R76">
        <v>0</v>
      </c>
      <c r="S76">
        <v>0</v>
      </c>
      <c r="T76">
        <v>0</v>
      </c>
      <c r="U76">
        <v>1</v>
      </c>
      <c r="V76">
        <v>1</v>
      </c>
      <c r="W76" s="19">
        <v>1</v>
      </c>
    </row>
    <row r="77" spans="9:23" x14ac:dyDescent="0.35">
      <c r="I77" t="str">
        <f t="shared" si="2"/>
        <v>Outdoor Freshwater Activities</v>
      </c>
      <c r="J77" s="23">
        <v>0</v>
      </c>
      <c r="K77">
        <v>0</v>
      </c>
      <c r="L77">
        <v>1</v>
      </c>
      <c r="M77">
        <v>1</v>
      </c>
      <c r="N77">
        <v>0</v>
      </c>
      <c r="O77">
        <v>0</v>
      </c>
      <c r="P77" s="19">
        <v>1</v>
      </c>
      <c r="Q77" s="23">
        <v>2</v>
      </c>
      <c r="R77">
        <v>0</v>
      </c>
      <c r="S77">
        <v>0</v>
      </c>
      <c r="T77">
        <v>1</v>
      </c>
      <c r="U77">
        <v>0</v>
      </c>
      <c r="V77">
        <v>0</v>
      </c>
      <c r="W77" s="19">
        <v>1</v>
      </c>
    </row>
    <row r="78" spans="9:23" x14ac:dyDescent="0.35">
      <c r="I78" t="str">
        <f t="shared" si="2"/>
        <v>Outdoor Coastal Activities</v>
      </c>
      <c r="J78" s="23">
        <v>1</v>
      </c>
      <c r="K78">
        <v>0</v>
      </c>
      <c r="L78">
        <v>1</v>
      </c>
      <c r="M78">
        <v>0</v>
      </c>
      <c r="N78">
        <v>2</v>
      </c>
      <c r="O78">
        <v>2</v>
      </c>
      <c r="P78" s="19">
        <v>1</v>
      </c>
      <c r="Q78" s="23">
        <v>1</v>
      </c>
      <c r="R78">
        <v>0</v>
      </c>
      <c r="S78">
        <v>0</v>
      </c>
      <c r="T78">
        <v>0</v>
      </c>
      <c r="U78">
        <v>1</v>
      </c>
      <c r="V78">
        <v>1</v>
      </c>
      <c r="W78" s="19">
        <v>1</v>
      </c>
    </row>
    <row r="79" spans="9:23" x14ac:dyDescent="0.35">
      <c r="I79" t="str">
        <f t="shared" si="2"/>
        <v>Land Transportation Activities</v>
      </c>
      <c r="J79" s="23">
        <v>1</v>
      </c>
      <c r="K79">
        <v>0</v>
      </c>
      <c r="L79">
        <v>1</v>
      </c>
      <c r="M79">
        <v>1</v>
      </c>
      <c r="N79">
        <v>0</v>
      </c>
      <c r="O79">
        <v>0</v>
      </c>
      <c r="P79" s="19">
        <v>0</v>
      </c>
      <c r="Q79" s="23">
        <v>0</v>
      </c>
      <c r="R79">
        <v>0</v>
      </c>
      <c r="S79">
        <v>0</v>
      </c>
      <c r="T79">
        <v>1</v>
      </c>
      <c r="U79">
        <v>0</v>
      </c>
      <c r="V79">
        <v>0</v>
      </c>
      <c r="W79" s="19">
        <v>0</v>
      </c>
    </row>
    <row r="80" spans="9:23" x14ac:dyDescent="0.35">
      <c r="I80" t="str">
        <f t="shared" si="2"/>
        <v>Water Transportation Activities</v>
      </c>
      <c r="J80" s="23">
        <v>0</v>
      </c>
      <c r="K80">
        <v>0</v>
      </c>
      <c r="L80">
        <v>1</v>
      </c>
      <c r="M80">
        <v>0</v>
      </c>
      <c r="N80">
        <v>1</v>
      </c>
      <c r="O80">
        <v>0</v>
      </c>
      <c r="P80" s="19">
        <v>0</v>
      </c>
      <c r="Q80" s="23">
        <v>0</v>
      </c>
      <c r="R80">
        <v>0</v>
      </c>
      <c r="S80">
        <v>0</v>
      </c>
      <c r="T80">
        <v>0</v>
      </c>
      <c r="U80">
        <v>0</v>
      </c>
      <c r="V80">
        <v>1</v>
      </c>
      <c r="W80" s="19">
        <v>0</v>
      </c>
    </row>
    <row r="81" spans="9:30" x14ac:dyDescent="0.35">
      <c r="I81" t="str">
        <f t="shared" si="2"/>
        <v>Office / Shop / Admin Activities</v>
      </c>
      <c r="J81" s="23">
        <v>1</v>
      </c>
      <c r="K81">
        <v>1</v>
      </c>
      <c r="L81">
        <v>1</v>
      </c>
      <c r="M81">
        <v>1</v>
      </c>
      <c r="N81">
        <v>0</v>
      </c>
      <c r="O81">
        <v>0</v>
      </c>
      <c r="P81" s="19">
        <v>1</v>
      </c>
      <c r="Q81" s="23">
        <v>0</v>
      </c>
      <c r="R81">
        <v>1</v>
      </c>
      <c r="S81">
        <v>1</v>
      </c>
      <c r="T81">
        <v>1</v>
      </c>
      <c r="U81">
        <v>0</v>
      </c>
      <c r="V81">
        <v>0</v>
      </c>
      <c r="W81" s="19">
        <v>1</v>
      </c>
    </row>
    <row r="82" spans="9:30" x14ac:dyDescent="0.35">
      <c r="I82" t="str">
        <f t="shared" si="2"/>
        <v>Goods Supply Activities</v>
      </c>
      <c r="J82" s="23">
        <v>1</v>
      </c>
      <c r="K82">
        <v>1</v>
      </c>
      <c r="L82">
        <v>1</v>
      </c>
      <c r="M82">
        <v>0</v>
      </c>
      <c r="N82">
        <v>1</v>
      </c>
      <c r="O82">
        <v>1</v>
      </c>
      <c r="P82" s="19">
        <v>1</v>
      </c>
      <c r="Q82" s="23">
        <v>0</v>
      </c>
      <c r="R82">
        <v>1</v>
      </c>
      <c r="S82">
        <v>1</v>
      </c>
      <c r="T82">
        <v>2</v>
      </c>
      <c r="U82">
        <v>1</v>
      </c>
      <c r="V82">
        <v>1</v>
      </c>
      <c r="W82" s="19">
        <v>1</v>
      </c>
    </row>
    <row r="83" spans="9:30" x14ac:dyDescent="0.35">
      <c r="I83" t="str">
        <f t="shared" si="2"/>
        <v>Construction Activities</v>
      </c>
      <c r="J83" s="103">
        <v>2</v>
      </c>
      <c r="K83" s="17">
        <v>0</v>
      </c>
      <c r="L83" s="17">
        <v>1</v>
      </c>
      <c r="M83" s="17">
        <v>1</v>
      </c>
      <c r="N83" s="17">
        <v>0</v>
      </c>
      <c r="O83" s="17">
        <v>2</v>
      </c>
      <c r="P83" s="97">
        <v>1</v>
      </c>
      <c r="Q83" s="103">
        <v>0</v>
      </c>
      <c r="R83" s="17">
        <v>0</v>
      </c>
      <c r="S83" s="17">
        <v>1</v>
      </c>
      <c r="T83" s="17">
        <v>0</v>
      </c>
      <c r="U83" s="17">
        <v>0</v>
      </c>
      <c r="V83" s="17">
        <v>0</v>
      </c>
      <c r="W83" s="97">
        <v>1</v>
      </c>
    </row>
    <row r="88" spans="9:30" x14ac:dyDescent="0.35">
      <c r="Q88" t="s">
        <v>300</v>
      </c>
      <c r="X88" t="s">
        <v>301</v>
      </c>
    </row>
    <row r="89" spans="9:30" x14ac:dyDescent="0.35">
      <c r="P89" t="str">
        <f t="shared" ref="P89:P111" si="3">B4</f>
        <v>Coastal / Marine Ecosystems</v>
      </c>
      <c r="Q89" s="21" cm="1">
        <f t="array" ref="Q89:Q111">_xlfn.SWITCH(VEValuesADJUSTED[EP - Coastal Inundation],"E",4,"H",3,"M",2,"L",1,0)+_xlfn.ANCHORARRAY(J61)</f>
        <v>3</v>
      </c>
      <c r="R89" s="50" cm="1">
        <f t="array" ref="R89:R111">_xlfn.SWITCH(VEValuesADJUSTED[EP - Extreme Rainfall],"E",4,"H",3,"M",2,"L",1,0)+_xlfn.ANCHORARRAY(K61)</f>
        <v>1</v>
      </c>
      <c r="S89" s="50" cm="1">
        <f t="array" ref="S89:S111">_xlfn.SWITCH(VEValuesADJUSTED[EP - Tropical Cyclone],"E",4,"H",3,"M",2,"L",1,0)+_xlfn.ANCHORARRAY(L61)</f>
        <v>4</v>
      </c>
      <c r="T89" s="50" cm="1">
        <f t="array" ref="T89:T111">_xlfn.SWITCH(VEValuesADJUSTED[EP - Drought],"E",4,"H",3,"M",2,"L",1,0)+_xlfn.ANCHORARRAY(M61)</f>
        <v>1</v>
      </c>
      <c r="U89" s="50" cm="1">
        <f t="array" ref="U89:U111">_xlfn.SWITCH(VEValuesADJUSTED[EP - Marine Heat Waves],"E",4,"H",3,"M",2,"L",1,0)+_xlfn.ANCHORARRAY(N61)</f>
        <v>4</v>
      </c>
      <c r="V89" s="50" cm="1">
        <f t="array" ref="V89:V111">_xlfn.SWITCH(VEValuesADJUSTED[EP - Ocean Acidification],"E",4,"H",3,"M",2,"L",1,0)+_xlfn.ANCHORARRAY(O61)</f>
        <v>3</v>
      </c>
      <c r="W89" s="95" cm="1">
        <f t="array" ref="W89:W111">_xlfn.SWITCH(VEValuesADJUSTED[EP - Extreme Temperature],"E",4,"H",3,"M",2,"L",1,0)+_xlfn.ANCHORARRAY(P61)</f>
        <v>4</v>
      </c>
      <c r="X89" s="21" cm="1">
        <f t="array" ref="X89:X111">_xlfn.SWITCH(VEValuesADJUSTED[E2050 - Coastal Inundation],"E",4,"H",3,"M",2,"L",1,0)+_xlfn.ANCHORARRAY(Q61)</f>
        <v>4</v>
      </c>
      <c r="Y89" s="50" cm="1">
        <f t="array" ref="Y89:Y111">_xlfn.SWITCH(VEValuesADJUSTED[E2050 - Extreme Rainfall],"E",4,"H",3,"M",2,"L",1,0)+_xlfn.ANCHORARRAY(R61)</f>
        <v>2</v>
      </c>
      <c r="Z89" s="50" cm="1">
        <f t="array" ref="Z89:Z111">_xlfn.SWITCH(VEValuesADJUSTED[E2050 - Tropical Cyclone],"E",4,"H",3,"M",2,"L",1,0)+_xlfn.ANCHORARRAY(S61)</f>
        <v>4</v>
      </c>
      <c r="AA89" s="50" cm="1">
        <f t="array" ref="AA89:AA111">_xlfn.SWITCH(VEValuesADJUSTED[E2050 - Drought],"E",4,"H",3,"M",2,"L",1,0)+_xlfn.ANCHORARRAY(T61)</f>
        <v>1</v>
      </c>
      <c r="AB89" s="50" cm="1">
        <f t="array" ref="AB89:AB111">_xlfn.SWITCH(VEValuesADJUSTED[E2050 - Marine Heat Waves],"E",4,"H",3,"M",2,"L",1,0)+_xlfn.ANCHORARRAY(U61)</f>
        <v>4</v>
      </c>
      <c r="AC89" s="50" cm="1">
        <f t="array" ref="AC89:AC111">_xlfn.SWITCH(VEValuesADJUSTED[E2050 - Ocean Acidification],"E",4,"H",3,"M",2,"L",1,0)+_xlfn.ANCHORARRAY(V61)</f>
        <v>4</v>
      </c>
      <c r="AD89" s="95" cm="1">
        <f t="array" ref="AD89:AD111">_xlfn.SWITCH(VEValuesADJUSTED[E2050 - Extreme Temperature],"E",4,"H",3,"M",2,"L",1,0)+_xlfn.ANCHORARRAY(W61)</f>
        <v>4</v>
      </c>
    </row>
    <row r="90" spans="9:30" x14ac:dyDescent="0.35">
      <c r="P90" t="str">
        <f t="shared" si="3"/>
        <v>Terrestrial Ecosystems</v>
      </c>
      <c r="Q90" s="23">
        <v>2</v>
      </c>
      <c r="R90">
        <v>3</v>
      </c>
      <c r="S90">
        <v>4</v>
      </c>
      <c r="T90">
        <v>2</v>
      </c>
      <c r="U90">
        <v>0</v>
      </c>
      <c r="V90">
        <v>0</v>
      </c>
      <c r="W90" s="19">
        <v>4</v>
      </c>
      <c r="X90" s="23">
        <v>3</v>
      </c>
      <c r="Y90">
        <v>4</v>
      </c>
      <c r="Z90">
        <v>4</v>
      </c>
      <c r="AA90">
        <v>4</v>
      </c>
      <c r="AB90">
        <v>0</v>
      </c>
      <c r="AC90">
        <v>0</v>
      </c>
      <c r="AD90" s="19">
        <v>4</v>
      </c>
    </row>
    <row r="91" spans="9:30" x14ac:dyDescent="0.35">
      <c r="P91" t="str">
        <f t="shared" si="3"/>
        <v>Freshwater Ecosystems</v>
      </c>
      <c r="Q91" s="23">
        <v>3</v>
      </c>
      <c r="R91">
        <v>3</v>
      </c>
      <c r="S91">
        <v>4</v>
      </c>
      <c r="T91">
        <v>3</v>
      </c>
      <c r="U91">
        <v>0</v>
      </c>
      <c r="V91">
        <v>0</v>
      </c>
      <c r="W91" s="19">
        <v>4</v>
      </c>
      <c r="X91" s="23">
        <v>3</v>
      </c>
      <c r="Y91">
        <v>3</v>
      </c>
      <c r="Z91">
        <v>4</v>
      </c>
      <c r="AA91">
        <v>4</v>
      </c>
      <c r="AB91">
        <v>0</v>
      </c>
      <c r="AC91">
        <v>0</v>
      </c>
      <c r="AD91" s="19">
        <v>4</v>
      </c>
    </row>
    <row r="92" spans="9:30" x14ac:dyDescent="0.35">
      <c r="P92" t="str">
        <f t="shared" si="3"/>
        <v>Inhabited Buildings</v>
      </c>
      <c r="Q92" s="23">
        <v>3</v>
      </c>
      <c r="R92">
        <v>2</v>
      </c>
      <c r="S92">
        <v>4</v>
      </c>
      <c r="T92">
        <v>3</v>
      </c>
      <c r="U92">
        <v>0</v>
      </c>
      <c r="V92">
        <v>0</v>
      </c>
      <c r="W92" s="19">
        <v>3</v>
      </c>
      <c r="X92" s="23">
        <v>4</v>
      </c>
      <c r="Y92">
        <v>3</v>
      </c>
      <c r="Z92">
        <v>4</v>
      </c>
      <c r="AA92">
        <v>4</v>
      </c>
      <c r="AB92">
        <v>0</v>
      </c>
      <c r="AC92">
        <v>0</v>
      </c>
      <c r="AD92" s="19">
        <v>4</v>
      </c>
    </row>
    <row r="93" spans="9:30" x14ac:dyDescent="0.35">
      <c r="P93" t="str">
        <f t="shared" si="3"/>
        <v>Ports / Wharves</v>
      </c>
      <c r="Q93" s="23">
        <v>3</v>
      </c>
      <c r="R93">
        <v>2</v>
      </c>
      <c r="S93">
        <v>4</v>
      </c>
      <c r="T93">
        <v>2</v>
      </c>
      <c r="U93">
        <v>0</v>
      </c>
      <c r="V93">
        <v>3</v>
      </c>
      <c r="W93" s="19">
        <v>3</v>
      </c>
      <c r="X93" s="23">
        <v>4</v>
      </c>
      <c r="Y93">
        <v>3</v>
      </c>
      <c r="Z93">
        <v>4</v>
      </c>
      <c r="AA93">
        <v>2</v>
      </c>
      <c r="AB93">
        <v>0</v>
      </c>
      <c r="AC93">
        <v>3</v>
      </c>
      <c r="AD93" s="19">
        <v>3</v>
      </c>
    </row>
    <row r="94" spans="9:30" x14ac:dyDescent="0.35">
      <c r="P94" t="str">
        <f t="shared" si="3"/>
        <v>Airports / Airfields</v>
      </c>
      <c r="Q94" s="23">
        <v>3</v>
      </c>
      <c r="R94">
        <v>2</v>
      </c>
      <c r="S94">
        <v>4</v>
      </c>
      <c r="T94">
        <v>3</v>
      </c>
      <c r="U94">
        <v>0</v>
      </c>
      <c r="V94">
        <v>0</v>
      </c>
      <c r="W94" s="19">
        <v>3</v>
      </c>
      <c r="X94" s="23">
        <v>4</v>
      </c>
      <c r="Y94">
        <v>3</v>
      </c>
      <c r="Z94">
        <v>4</v>
      </c>
      <c r="AA94">
        <v>4</v>
      </c>
      <c r="AB94">
        <v>0</v>
      </c>
      <c r="AC94">
        <v>0</v>
      </c>
      <c r="AD94" s="19">
        <v>3</v>
      </c>
    </row>
    <row r="95" spans="9:30" x14ac:dyDescent="0.35">
      <c r="P95" t="str">
        <f t="shared" si="3"/>
        <v>Telecommunications</v>
      </c>
      <c r="Q95" s="23">
        <v>1</v>
      </c>
      <c r="R95">
        <v>2</v>
      </c>
      <c r="S95">
        <v>4</v>
      </c>
      <c r="T95">
        <v>2</v>
      </c>
      <c r="U95">
        <v>0</v>
      </c>
      <c r="V95">
        <v>0</v>
      </c>
      <c r="W95" s="19">
        <v>1</v>
      </c>
      <c r="X95" s="23">
        <v>2</v>
      </c>
      <c r="Y95">
        <v>3</v>
      </c>
      <c r="Z95">
        <v>4</v>
      </c>
      <c r="AA95">
        <v>2</v>
      </c>
      <c r="AB95">
        <v>0</v>
      </c>
      <c r="AC95">
        <v>0</v>
      </c>
      <c r="AD95" s="19">
        <v>3</v>
      </c>
    </row>
    <row r="96" spans="9:30" x14ac:dyDescent="0.35">
      <c r="P96" t="str">
        <f t="shared" si="3"/>
        <v>Electricity</v>
      </c>
      <c r="Q96" s="23">
        <v>1</v>
      </c>
      <c r="R96">
        <v>2</v>
      </c>
      <c r="S96">
        <v>4</v>
      </c>
      <c r="T96">
        <v>2</v>
      </c>
      <c r="U96">
        <v>0</v>
      </c>
      <c r="V96">
        <v>0</v>
      </c>
      <c r="W96" s="19">
        <v>3</v>
      </c>
      <c r="X96" s="23">
        <v>3</v>
      </c>
      <c r="Y96">
        <v>3</v>
      </c>
      <c r="Z96">
        <v>4</v>
      </c>
      <c r="AA96">
        <v>2</v>
      </c>
      <c r="AB96">
        <v>0</v>
      </c>
      <c r="AC96">
        <v>0</v>
      </c>
      <c r="AD96" s="19">
        <v>3</v>
      </c>
    </row>
    <row r="97" spans="16:30" x14ac:dyDescent="0.35">
      <c r="P97" t="str">
        <f t="shared" si="3"/>
        <v>Wastewater Infrastructure</v>
      </c>
      <c r="Q97" s="23">
        <v>2</v>
      </c>
      <c r="R97">
        <v>2</v>
      </c>
      <c r="S97">
        <v>4</v>
      </c>
      <c r="T97">
        <v>2</v>
      </c>
      <c r="U97">
        <v>0</v>
      </c>
      <c r="V97">
        <v>0</v>
      </c>
      <c r="W97" s="19">
        <v>3</v>
      </c>
      <c r="X97" s="23">
        <v>4</v>
      </c>
      <c r="Y97">
        <v>3</v>
      </c>
      <c r="Z97">
        <v>4</v>
      </c>
      <c r="AA97">
        <v>3</v>
      </c>
      <c r="AB97">
        <v>0</v>
      </c>
      <c r="AC97">
        <v>0</v>
      </c>
      <c r="AD97" s="19">
        <v>3</v>
      </c>
    </row>
    <row r="98" spans="16:30" x14ac:dyDescent="0.35">
      <c r="P98" t="str">
        <f t="shared" si="3"/>
        <v>Transportation Assets</v>
      </c>
      <c r="Q98" s="23">
        <v>3</v>
      </c>
      <c r="R98">
        <v>2</v>
      </c>
      <c r="S98">
        <v>4</v>
      </c>
      <c r="T98">
        <v>1</v>
      </c>
      <c r="U98">
        <v>0</v>
      </c>
      <c r="V98">
        <v>0</v>
      </c>
      <c r="W98" s="19">
        <v>3</v>
      </c>
      <c r="X98" s="23">
        <v>4</v>
      </c>
      <c r="Y98">
        <v>3</v>
      </c>
      <c r="Z98">
        <v>4</v>
      </c>
      <c r="AA98">
        <v>2</v>
      </c>
      <c r="AB98">
        <v>0</v>
      </c>
      <c r="AC98">
        <v>0</v>
      </c>
      <c r="AD98" s="19">
        <v>3</v>
      </c>
    </row>
    <row r="99" spans="16:30" x14ac:dyDescent="0.35">
      <c r="P99" t="str">
        <f t="shared" si="3"/>
        <v>Water Supply</v>
      </c>
      <c r="Q99" s="23">
        <v>2</v>
      </c>
      <c r="R99">
        <v>2</v>
      </c>
      <c r="S99">
        <v>3</v>
      </c>
      <c r="T99">
        <v>3</v>
      </c>
      <c r="U99">
        <v>0</v>
      </c>
      <c r="V99">
        <v>0</v>
      </c>
      <c r="W99" s="19">
        <v>3</v>
      </c>
      <c r="X99" s="23">
        <v>3</v>
      </c>
      <c r="Y99">
        <v>3</v>
      </c>
      <c r="Z99">
        <v>3</v>
      </c>
      <c r="AA99">
        <v>4</v>
      </c>
      <c r="AB99">
        <v>0</v>
      </c>
      <c r="AC99">
        <v>0</v>
      </c>
      <c r="AD99" s="19">
        <v>4</v>
      </c>
    </row>
    <row r="100" spans="16:30" x14ac:dyDescent="0.35">
      <c r="P100" t="str">
        <f t="shared" si="3"/>
        <v>Stormwater / Flood Management</v>
      </c>
      <c r="Q100" s="23">
        <v>3</v>
      </c>
      <c r="R100">
        <v>3</v>
      </c>
      <c r="S100">
        <v>4</v>
      </c>
      <c r="T100">
        <v>0</v>
      </c>
      <c r="U100">
        <v>0</v>
      </c>
      <c r="V100">
        <v>0</v>
      </c>
      <c r="W100" s="19">
        <v>1</v>
      </c>
      <c r="X100" s="23">
        <v>4</v>
      </c>
      <c r="Y100">
        <v>4</v>
      </c>
      <c r="Z100">
        <v>4</v>
      </c>
      <c r="AA100">
        <v>0</v>
      </c>
      <c r="AB100">
        <v>0</v>
      </c>
      <c r="AC100">
        <v>0</v>
      </c>
      <c r="AD100" s="19">
        <v>2</v>
      </c>
    </row>
    <row r="101" spans="16:30" x14ac:dyDescent="0.35">
      <c r="P101" t="str">
        <f t="shared" si="3"/>
        <v>Uninhabited Buildings</v>
      </c>
      <c r="Q101" s="23">
        <v>3</v>
      </c>
      <c r="R101">
        <v>2</v>
      </c>
      <c r="S101">
        <v>4</v>
      </c>
      <c r="T101">
        <v>3</v>
      </c>
      <c r="U101">
        <v>0</v>
      </c>
      <c r="V101">
        <v>0</v>
      </c>
      <c r="W101" s="19">
        <v>3</v>
      </c>
      <c r="X101" s="23">
        <v>4</v>
      </c>
      <c r="Y101">
        <v>3</v>
      </c>
      <c r="Z101">
        <v>4</v>
      </c>
      <c r="AA101">
        <v>4</v>
      </c>
      <c r="AB101">
        <v>0</v>
      </c>
      <c r="AC101">
        <v>0</v>
      </c>
      <c r="AD101" s="19">
        <v>3</v>
      </c>
    </row>
    <row r="102" spans="16:30" x14ac:dyDescent="0.35">
      <c r="P102" t="str">
        <f t="shared" si="3"/>
        <v>Evacuation Structures</v>
      </c>
      <c r="Q102" s="23">
        <v>2</v>
      </c>
      <c r="R102">
        <v>2</v>
      </c>
      <c r="S102">
        <v>3</v>
      </c>
      <c r="T102">
        <v>0</v>
      </c>
      <c r="U102">
        <v>0</v>
      </c>
      <c r="V102">
        <v>0</v>
      </c>
      <c r="W102" s="19">
        <v>3</v>
      </c>
      <c r="X102" s="23">
        <v>3</v>
      </c>
      <c r="Y102">
        <v>4</v>
      </c>
      <c r="Z102">
        <v>4</v>
      </c>
      <c r="AA102">
        <v>0</v>
      </c>
      <c r="AB102">
        <v>0</v>
      </c>
      <c r="AC102">
        <v>0</v>
      </c>
      <c r="AD102" s="19">
        <v>3</v>
      </c>
    </row>
    <row r="103" spans="16:30" x14ac:dyDescent="0.35">
      <c r="P103" t="str">
        <f t="shared" si="3"/>
        <v>Outdoor Land Activities</v>
      </c>
      <c r="Q103" s="23">
        <v>1</v>
      </c>
      <c r="R103">
        <v>3</v>
      </c>
      <c r="S103">
        <v>4</v>
      </c>
      <c r="T103">
        <v>3</v>
      </c>
      <c r="U103">
        <v>0</v>
      </c>
      <c r="V103">
        <v>0</v>
      </c>
      <c r="W103" s="19">
        <v>3</v>
      </c>
      <c r="X103" s="23">
        <v>2</v>
      </c>
      <c r="Y103">
        <v>3</v>
      </c>
      <c r="Z103">
        <v>4</v>
      </c>
      <c r="AA103">
        <v>4</v>
      </c>
      <c r="AB103">
        <v>0</v>
      </c>
      <c r="AC103">
        <v>0</v>
      </c>
      <c r="AD103" s="19">
        <v>4</v>
      </c>
    </row>
    <row r="104" spans="16:30" x14ac:dyDescent="0.35">
      <c r="P104" t="str">
        <f t="shared" si="3"/>
        <v>Outdoor Marine Activities</v>
      </c>
      <c r="Q104" s="23">
        <v>1</v>
      </c>
      <c r="R104">
        <v>3</v>
      </c>
      <c r="S104">
        <v>4</v>
      </c>
      <c r="T104">
        <v>1</v>
      </c>
      <c r="U104">
        <v>3</v>
      </c>
      <c r="V104">
        <v>3</v>
      </c>
      <c r="W104" s="19">
        <v>3</v>
      </c>
      <c r="X104" s="23">
        <v>2</v>
      </c>
      <c r="Y104">
        <v>3</v>
      </c>
      <c r="Z104">
        <v>4</v>
      </c>
      <c r="AA104">
        <v>1</v>
      </c>
      <c r="AB104">
        <v>4</v>
      </c>
      <c r="AC104">
        <v>4</v>
      </c>
      <c r="AD104" s="19">
        <v>4</v>
      </c>
    </row>
    <row r="105" spans="16:30" x14ac:dyDescent="0.35">
      <c r="P105" t="str">
        <f t="shared" si="3"/>
        <v>Outdoor Freshwater Activities</v>
      </c>
      <c r="Q105" s="23">
        <v>1</v>
      </c>
      <c r="R105">
        <v>3</v>
      </c>
      <c r="S105">
        <v>4</v>
      </c>
      <c r="T105">
        <v>3</v>
      </c>
      <c r="U105">
        <v>0</v>
      </c>
      <c r="V105">
        <v>0</v>
      </c>
      <c r="W105" s="19">
        <v>3</v>
      </c>
      <c r="X105" s="23">
        <v>3</v>
      </c>
      <c r="Y105">
        <v>3</v>
      </c>
      <c r="Z105">
        <v>4</v>
      </c>
      <c r="AA105">
        <v>4</v>
      </c>
      <c r="AB105">
        <v>0</v>
      </c>
      <c r="AC105">
        <v>0</v>
      </c>
      <c r="AD105" s="19">
        <v>4</v>
      </c>
    </row>
    <row r="106" spans="16:30" x14ac:dyDescent="0.35">
      <c r="P106" t="str">
        <f t="shared" si="3"/>
        <v>Outdoor Coastal Activities</v>
      </c>
      <c r="Q106" s="23">
        <v>3</v>
      </c>
      <c r="R106">
        <v>3</v>
      </c>
      <c r="S106">
        <v>4</v>
      </c>
      <c r="T106">
        <v>1</v>
      </c>
      <c r="U106">
        <v>3</v>
      </c>
      <c r="V106">
        <v>3</v>
      </c>
      <c r="W106" s="19">
        <v>3</v>
      </c>
      <c r="X106" s="23">
        <v>4</v>
      </c>
      <c r="Y106">
        <v>3</v>
      </c>
      <c r="Z106">
        <v>4</v>
      </c>
      <c r="AA106">
        <v>1</v>
      </c>
      <c r="AB106">
        <v>4</v>
      </c>
      <c r="AC106">
        <v>4</v>
      </c>
      <c r="AD106" s="19">
        <v>4</v>
      </c>
    </row>
    <row r="107" spans="16:30" x14ac:dyDescent="0.35">
      <c r="P107" t="str">
        <f t="shared" si="3"/>
        <v>Land Transportation Activities</v>
      </c>
      <c r="Q107" s="23">
        <v>3</v>
      </c>
      <c r="R107">
        <v>3</v>
      </c>
      <c r="S107">
        <v>4</v>
      </c>
      <c r="T107">
        <v>2</v>
      </c>
      <c r="U107">
        <v>0</v>
      </c>
      <c r="V107">
        <v>0</v>
      </c>
      <c r="W107" s="19">
        <v>2</v>
      </c>
      <c r="X107" s="23">
        <v>3</v>
      </c>
      <c r="Y107">
        <v>3</v>
      </c>
      <c r="Z107">
        <v>4</v>
      </c>
      <c r="AA107">
        <v>3</v>
      </c>
      <c r="AB107">
        <v>0</v>
      </c>
      <c r="AC107">
        <v>0</v>
      </c>
      <c r="AD107" s="19">
        <v>2</v>
      </c>
    </row>
    <row r="108" spans="16:30" x14ac:dyDescent="0.35">
      <c r="P108" t="str">
        <f t="shared" si="3"/>
        <v>Water Transportation Activities</v>
      </c>
      <c r="Q108" s="23">
        <v>2</v>
      </c>
      <c r="R108">
        <v>3</v>
      </c>
      <c r="S108">
        <v>4</v>
      </c>
      <c r="T108">
        <v>1</v>
      </c>
      <c r="U108">
        <v>2</v>
      </c>
      <c r="V108">
        <v>1</v>
      </c>
      <c r="W108" s="19">
        <v>2</v>
      </c>
      <c r="X108" s="23">
        <v>2</v>
      </c>
      <c r="Y108">
        <v>3</v>
      </c>
      <c r="Z108">
        <v>4</v>
      </c>
      <c r="AA108">
        <v>1</v>
      </c>
      <c r="AB108">
        <v>2</v>
      </c>
      <c r="AC108">
        <v>2</v>
      </c>
      <c r="AD108" s="19">
        <v>2</v>
      </c>
    </row>
    <row r="109" spans="16:30" x14ac:dyDescent="0.35">
      <c r="P109" t="str">
        <f t="shared" si="3"/>
        <v>Office / Shop / Admin Activities</v>
      </c>
      <c r="Q109" s="23">
        <v>3</v>
      </c>
      <c r="R109">
        <v>2</v>
      </c>
      <c r="S109">
        <v>3</v>
      </c>
      <c r="T109">
        <v>3</v>
      </c>
      <c r="U109">
        <v>0</v>
      </c>
      <c r="V109">
        <v>0</v>
      </c>
      <c r="W109" s="19">
        <v>3</v>
      </c>
      <c r="X109" s="23">
        <v>3</v>
      </c>
      <c r="Y109">
        <v>3</v>
      </c>
      <c r="Z109">
        <v>4</v>
      </c>
      <c r="AA109">
        <v>4</v>
      </c>
      <c r="AB109">
        <v>0</v>
      </c>
      <c r="AC109">
        <v>0</v>
      </c>
      <c r="AD109" s="19">
        <v>4</v>
      </c>
    </row>
    <row r="110" spans="16:30" x14ac:dyDescent="0.35">
      <c r="P110" t="str">
        <f t="shared" si="3"/>
        <v>Goods Supply Activities</v>
      </c>
      <c r="Q110" s="23">
        <v>3</v>
      </c>
      <c r="R110">
        <v>2</v>
      </c>
      <c r="S110">
        <v>3</v>
      </c>
      <c r="T110">
        <v>1</v>
      </c>
      <c r="U110">
        <v>3</v>
      </c>
      <c r="V110">
        <v>2</v>
      </c>
      <c r="W110" s="19">
        <v>3</v>
      </c>
      <c r="X110" s="23">
        <v>3</v>
      </c>
      <c r="Y110">
        <v>3</v>
      </c>
      <c r="Z110">
        <v>4</v>
      </c>
      <c r="AA110">
        <v>3</v>
      </c>
      <c r="AB110">
        <v>4</v>
      </c>
      <c r="AC110">
        <v>3</v>
      </c>
      <c r="AD110" s="19">
        <v>4</v>
      </c>
    </row>
    <row r="111" spans="16:30" x14ac:dyDescent="0.35">
      <c r="P111" t="str">
        <f t="shared" si="3"/>
        <v>Construction Activities</v>
      </c>
      <c r="Q111" s="103">
        <v>3</v>
      </c>
      <c r="R111" s="17">
        <v>3</v>
      </c>
      <c r="S111" s="17">
        <v>3</v>
      </c>
      <c r="T111" s="17">
        <v>3</v>
      </c>
      <c r="U111" s="17">
        <v>0</v>
      </c>
      <c r="V111" s="17">
        <v>3</v>
      </c>
      <c r="W111" s="97">
        <v>3</v>
      </c>
      <c r="X111" s="103">
        <v>3</v>
      </c>
      <c r="Y111" s="17">
        <v>3</v>
      </c>
      <c r="Z111" s="17">
        <v>4</v>
      </c>
      <c r="AA111" s="17">
        <v>3</v>
      </c>
      <c r="AB111" s="17">
        <v>0</v>
      </c>
      <c r="AC111" s="17">
        <v>3</v>
      </c>
      <c r="AD111" s="97">
        <v>4</v>
      </c>
    </row>
  </sheetData>
  <dataConsolidate/>
  <mergeCells count="8">
    <mergeCell ref="C29:I29"/>
    <mergeCell ref="J29:P29"/>
    <mergeCell ref="Q29:W29"/>
    <mergeCell ref="X29:AD29"/>
    <mergeCell ref="C2:I2"/>
    <mergeCell ref="J2:P2"/>
    <mergeCell ref="Q2:W2"/>
    <mergeCell ref="X2:AD2"/>
  </mergeCells>
  <phoneticPr fontId="11" type="noConversion"/>
  <conditionalFormatting sqref="C1:H1">
    <cfRule type="cellIs" dxfId="33" priority="6" operator="equal">
      <formula>"Low"</formula>
    </cfRule>
    <cfRule type="cellIs" dxfId="32" priority="7" operator="equal">
      <formula>"Moderate"</formula>
    </cfRule>
    <cfRule type="cellIs" dxfId="31" priority="8" operator="equal">
      <formula>"High"</formula>
    </cfRule>
    <cfRule type="cellIs" dxfId="30" priority="9" operator="equal">
      <formula>"High"</formula>
    </cfRule>
    <cfRule type="cellIs" dxfId="29" priority="10" operator="equal">
      <formula>"Extreme"</formula>
    </cfRule>
  </conditionalFormatting>
  <conditionalFormatting sqref="C4:AD6 P4:P26 W4:W26 AD4:AD26 I5:I26 C8:H17 P8:AD26 C18:W26 C27:Z27 C28:H28 C31:AD33 P31:P53 I32:AD53 C35:H44 C45:W53 C54:H55">
    <cfRule type="cellIs" dxfId="28" priority="85" operator="equal">
      <formula>"Extreme"</formula>
    </cfRule>
  </conditionalFormatting>
  <conditionalFormatting sqref="C4:AD6 P4:P26 W4:W26 AD4:AD26 I5:I26 C8:H26 J8:AD26 C27:Z27 C28:H28 C31:AD33 P31:P53 I32:AD53 C35:H55">
    <cfRule type="cellIs" dxfId="27" priority="83" operator="equal">
      <formula>"High"</formula>
    </cfRule>
    <cfRule type="cellIs" dxfId="26" priority="82" operator="equal">
      <formula>"Moderate"</formula>
    </cfRule>
    <cfRule type="cellIs" dxfId="25" priority="81" operator="equal">
      <formula>"Low"</formula>
    </cfRule>
    <cfRule type="cellIs" dxfId="24" priority="84" operator="equal">
      <formula>"High"</formula>
    </cfRule>
  </conditionalFormatting>
  <conditionalFormatting sqref="C4:AD26 C27:Z27 C31:AD53">
    <cfRule type="cellIs" dxfId="23" priority="53" operator="equal">
      <formula>"H"</formula>
    </cfRule>
    <cfRule type="cellIs" dxfId="22" priority="55" operator="equal">
      <formula>"E"</formula>
    </cfRule>
    <cfRule type="cellIs" dxfId="21" priority="33" operator="equal">
      <formula>"M"</formula>
    </cfRule>
    <cfRule type="cellIs" dxfId="20" priority="34" operator="equal">
      <formula>"L"</formula>
    </cfRule>
    <cfRule type="cellIs" dxfId="19" priority="35" operator="equal">
      <formula>"N/A"</formula>
    </cfRule>
  </conditionalFormatting>
  <conditionalFormatting sqref="J2 Q2 X2">
    <cfRule type="cellIs" dxfId="18" priority="2" operator="equal">
      <formula>"Moderate"</formula>
    </cfRule>
    <cfRule type="cellIs" dxfId="17" priority="3" operator="equal">
      <formula>"High"</formula>
    </cfRule>
    <cfRule type="cellIs" dxfId="16" priority="4" operator="equal">
      <formula>"High"</formula>
    </cfRule>
    <cfRule type="cellIs" dxfId="15" priority="5" operator="equal">
      <formula>"Extreme"</formula>
    </cfRule>
    <cfRule type="cellIs" dxfId="14" priority="1" operator="equal">
      <formula>"Low"</formula>
    </cfRule>
  </conditionalFormatting>
  <conditionalFormatting sqref="J29 Q29 X29">
    <cfRule type="cellIs" dxfId="13" priority="47" operator="equal">
      <formula>"High"</formula>
    </cfRule>
    <cfRule type="cellIs" dxfId="12" priority="48" operator="equal">
      <formula>"High"</formula>
    </cfRule>
    <cfRule type="cellIs" dxfId="11" priority="49" operator="equal">
      <formula>"Extreme"</formula>
    </cfRule>
    <cfRule type="cellIs" dxfId="10" priority="45" operator="equal">
      <formula>"Low"</formula>
    </cfRule>
    <cfRule type="cellIs" dxfId="9" priority="46" operator="equal">
      <formula>"Moderate"</formula>
    </cfRule>
  </conditionalFormatting>
  <conditionalFormatting sqref="J4:O6">
    <cfRule type="cellIs" dxfId="8" priority="68" operator="equal">
      <formula>"Extreme"</formula>
    </cfRule>
  </conditionalFormatting>
  <conditionalFormatting sqref="J8:O17 N9:O17">
    <cfRule type="cellIs" dxfId="7" priority="67" operator="equal">
      <formula>"Extreme"</formula>
    </cfRule>
  </conditionalFormatting>
  <conditionalFormatting sqref="J31:O53 N41:O44">
    <cfRule type="cellIs" dxfId="6" priority="15" operator="equal">
      <formula>"Extreme"</formula>
    </cfRule>
  </conditionalFormatting>
  <conditionalFormatting sqref="Q4:V6">
    <cfRule type="cellIs" dxfId="5" priority="20" operator="equal">
      <formula>"Extreme"</formula>
    </cfRule>
  </conditionalFormatting>
  <conditionalFormatting sqref="Q8:V13 U14:V17">
    <cfRule type="cellIs" dxfId="4" priority="19" operator="equal">
      <formula>"Extreme"</formula>
    </cfRule>
  </conditionalFormatting>
  <conditionalFormatting sqref="Q31:W53 U41:V44">
    <cfRule type="cellIs" dxfId="3" priority="13" operator="equal">
      <formula>"Extreme"</formula>
    </cfRule>
  </conditionalFormatting>
  <conditionalFormatting sqref="X4:AC6">
    <cfRule type="cellIs" dxfId="2" priority="18" operator="equal">
      <formula>"Extreme"</formula>
    </cfRule>
  </conditionalFormatting>
  <conditionalFormatting sqref="X8:AC13 AB14:AC17">
    <cfRule type="cellIs" dxfId="1" priority="17" operator="equal">
      <formula>"Extreme"</formula>
    </cfRule>
  </conditionalFormatting>
  <conditionalFormatting sqref="X31:AD53 AB41:AC44">
    <cfRule type="cellIs" dxfId="0" priority="11" operator="equal">
      <formula>"Extreme"</formula>
    </cfRule>
  </conditionalFormatting>
  <pageMargins left="0.7" right="0.7" top="0.75" bottom="0.75" header="0.3" footer="0.3"/>
  <pageSetup paperSize="256" orientation="portrait" horizontalDpi="1200" verticalDpi="1200" r:id="rId1"/>
  <tableParts count="2">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B3EFCA7E-420D-4DC7-8D6B-7508BCB9A74A}">
          <x14:formula1>
            <xm:f>'Backroom - VE Scoring'!$A$3:$A$7</xm:f>
          </x14:formula1>
          <xm:sqref>C27:Z27 C31:AD53 C4:AD26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67F43-1512-43CB-9728-3E3710AB7134}">
  <sheetPr codeName="Sheet12"/>
  <dimension ref="A1:J34"/>
  <sheetViews>
    <sheetView workbookViewId="0">
      <selection activeCell="D39" sqref="D39"/>
    </sheetView>
  </sheetViews>
  <sheetFormatPr defaultColWidth="9" defaultRowHeight="17.5" x14ac:dyDescent="0.35"/>
  <cols>
    <col min="1" max="1" width="27.625" style="175" bestFit="1" customWidth="1"/>
    <col min="2" max="9" width="19.9375" style="175" customWidth="1"/>
    <col min="10" max="16384" width="9" style="175"/>
  </cols>
  <sheetData>
    <row r="1" spans="1:10" x14ac:dyDescent="0.35">
      <c r="A1" s="175" t="s">
        <v>90</v>
      </c>
      <c r="B1" s="175" t="s">
        <v>426</v>
      </c>
      <c r="C1" s="175" t="s">
        <v>429</v>
      </c>
      <c r="D1" s="175" t="s">
        <v>427</v>
      </c>
      <c r="E1" s="175" t="s">
        <v>428</v>
      </c>
      <c r="F1" s="175" t="s">
        <v>430</v>
      </c>
      <c r="G1" s="175" t="s">
        <v>431</v>
      </c>
      <c r="H1" s="175" t="s">
        <v>432</v>
      </c>
      <c r="I1" s="175" t="s">
        <v>433</v>
      </c>
      <c r="J1" s="175" t="s">
        <v>132</v>
      </c>
    </row>
    <row r="2" spans="1:10" x14ac:dyDescent="0.35">
      <c r="A2" s="175" t="s">
        <v>112</v>
      </c>
      <c r="B2" s="175" t="str" cm="1">
        <f t="array" ref="B2">_xlfn.XLOOKUP(1,(RatingOrder[Present Threshold Lower]&lt;EaRSummary[[#This Row],[Average Risk Score - Present]])*(RatingOrder[Present Threshold Upper]&gt;=EaRSummary[[#This Row],[Average Risk Score - Present]]),RatingOrder[Rating Order],"",0)</f>
        <v/>
      </c>
      <c r="C2" s="175" t="str" cm="1">
        <f t="array" ref="C2">_xlfn.XLOOKUP(1,(RatingOrder[Future Threshold Lower]&lt;EaRSummary[[#This Row],[Average Risk Score - Future]])*(RatingOrder[Future Threshold Upper]&gt;=EaRSummary[[#This Row],[Average Risk Score - Future]]),RatingOrder[Rating Order],"",0)</f>
        <v/>
      </c>
      <c r="D2" s="175" t="str" cm="1">
        <f t="array" ref="D2">_xlfn.XLOOKUP(1,(RatingOrder[2050 Threshold Lower]&lt;EaRSummary[[#This Row],[Average Risk Score - 2050]])*(RatingOrder[2050 Threshold Upper]&gt;=EaRSummary[[#This Row],[Average Risk Score - 2050]]),RatingOrder[Rating Order],"",0)</f>
        <v/>
      </c>
      <c r="E2" s="175" t="str" cm="1">
        <f t="array" ref="E2">_xlfn.XLOOKUP(1,(RatingOrder[2100 Threshold Lower]&lt;EaRSummary[[#This Row],[Average Risk Score - 2100]])*(RatingOrder[2100 Threshold Upper]&gt;=EaRSummary[[#This Row],[Average Risk Score - 2100]]),RatingOrder[Rating Order],"",0)</f>
        <v/>
      </c>
      <c r="F2" s="175" t="e">
        <f>AVERAGEIFS(RiskStatements[Risk Score - Present],RiskStatements[Elements at Risk],EaRSummary[[#This Row],[Elements at Risk]],RiskStatements[Include],1)</f>
        <v>#DIV/0!</v>
      </c>
      <c r="G2"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2" s="175" t="e">
        <f>AVERAGEIFS(RiskStatements[Risk Score - 2050],RiskStatements[Elements at Risk],EaRSummary[[#This Row],[Elements at Risk]],RiskStatements[Include],1)</f>
        <v>#DIV/0!</v>
      </c>
      <c r="I2" s="175" t="e">
        <f>AVERAGEIFS(RiskStatements[Risk Score - 2100],RiskStatements[Elements at Risk],EaRSummary[[#This Row],[Elements at Risk]],RiskStatements[Include],1)</f>
        <v>#DIV/0!</v>
      </c>
      <c r="J2" s="175">
        <f>IF(COUNTIFS(RiskStatements[Elements at Risk],EaRSummary[[#This Row],[Elements at Risk]],RiskStatements[Include],1)&gt;0,1,0)</f>
        <v>0</v>
      </c>
    </row>
    <row r="3" spans="1:10" x14ac:dyDescent="0.35">
      <c r="A3" s="175" t="s">
        <v>117</v>
      </c>
      <c r="B3" s="175" t="str" cm="1">
        <f t="array" ref="B3">_xlfn.XLOOKUP(1,(RatingOrder[Present Threshold Lower]&lt;EaRSummary[[#This Row],[Average Risk Score - Present]])*(RatingOrder[Present Threshold Upper]&gt;=EaRSummary[[#This Row],[Average Risk Score - Present]]),RatingOrder[Rating Order],"",0)</f>
        <v/>
      </c>
      <c r="C3" s="175" t="str" cm="1">
        <f t="array" ref="C3">_xlfn.XLOOKUP(1,(RatingOrder[Future Threshold Lower]&lt;EaRSummary[[#This Row],[Average Risk Score - Future]])*(RatingOrder[Future Threshold Upper]&gt;=EaRSummary[[#This Row],[Average Risk Score - Future]]),RatingOrder[Rating Order],"",0)</f>
        <v/>
      </c>
      <c r="D3" s="175" t="str" cm="1">
        <f t="array" ref="D3">_xlfn.XLOOKUP(1,(RatingOrder[2050 Threshold Lower]&lt;EaRSummary[[#This Row],[Average Risk Score - 2050]])*(RatingOrder[2050 Threshold Upper]&gt;=EaRSummary[[#This Row],[Average Risk Score - 2050]]),RatingOrder[Rating Order],"",0)</f>
        <v/>
      </c>
      <c r="E3" s="175" t="str" cm="1">
        <f t="array" ref="E3">_xlfn.XLOOKUP(1,(RatingOrder[2100 Threshold Lower]&lt;EaRSummary[[#This Row],[Average Risk Score - 2100]])*(RatingOrder[2100 Threshold Upper]&gt;=EaRSummary[[#This Row],[Average Risk Score - 2100]]),RatingOrder[Rating Order],"",0)</f>
        <v/>
      </c>
      <c r="F3" s="175" t="e">
        <f>AVERAGEIFS(RiskStatements[Risk Score - Present],RiskStatements[Elements at Risk],EaRSummary[[#This Row],[Elements at Risk]],RiskStatements[Include],1)</f>
        <v>#DIV/0!</v>
      </c>
      <c r="G3"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3" s="175" t="e">
        <f>AVERAGEIFS(RiskStatements[Risk Score - 2050],RiskStatements[Elements at Risk],EaRSummary[[#This Row],[Elements at Risk]],RiskStatements[Include],1)</f>
        <v>#DIV/0!</v>
      </c>
      <c r="I3" s="175" t="e">
        <f>AVERAGEIFS(RiskStatements[Risk Score - 2100],RiskStatements[Elements at Risk],EaRSummary[[#This Row],[Elements at Risk]],RiskStatements[Include],1)</f>
        <v>#DIV/0!</v>
      </c>
      <c r="J3" s="175">
        <f>IF(COUNTIFS(RiskStatements[Elements at Risk],EaRSummary[[#This Row],[Elements at Risk]],RiskStatements[Include],1)&gt;0,1,0)</f>
        <v>0</v>
      </c>
    </row>
    <row r="4" spans="1:10" x14ac:dyDescent="0.35">
      <c r="A4" s="175" t="s">
        <v>119</v>
      </c>
      <c r="B4" s="175" t="str" cm="1">
        <f t="array" ref="B4">_xlfn.XLOOKUP(1,(RatingOrder[Present Threshold Lower]&lt;EaRSummary[[#This Row],[Average Risk Score - Present]])*(RatingOrder[Present Threshold Upper]&gt;=EaRSummary[[#This Row],[Average Risk Score - Present]]),RatingOrder[Rating Order],"",0)</f>
        <v/>
      </c>
      <c r="C4" s="175" t="str" cm="1">
        <f t="array" ref="C4">_xlfn.XLOOKUP(1,(RatingOrder[Future Threshold Lower]&lt;EaRSummary[[#This Row],[Average Risk Score - Future]])*(RatingOrder[Future Threshold Upper]&gt;=EaRSummary[[#This Row],[Average Risk Score - Future]]),RatingOrder[Rating Order],"",0)</f>
        <v/>
      </c>
      <c r="D4" s="175" t="str" cm="1">
        <f t="array" ref="D4">_xlfn.XLOOKUP(1,(RatingOrder[2050 Threshold Lower]&lt;EaRSummary[[#This Row],[Average Risk Score - 2050]])*(RatingOrder[2050 Threshold Upper]&gt;=EaRSummary[[#This Row],[Average Risk Score - 2050]]),RatingOrder[Rating Order],"",0)</f>
        <v/>
      </c>
      <c r="E4" s="175" t="str" cm="1">
        <f t="array" ref="E4">_xlfn.XLOOKUP(1,(RatingOrder[2100 Threshold Lower]&lt;EaRSummary[[#This Row],[Average Risk Score - 2100]])*(RatingOrder[2100 Threshold Upper]&gt;=EaRSummary[[#This Row],[Average Risk Score - 2100]]),RatingOrder[Rating Order],"",0)</f>
        <v/>
      </c>
      <c r="F4" s="175" t="e">
        <f>AVERAGEIFS(RiskStatements[Risk Score - Present],RiskStatements[Elements at Risk],EaRSummary[[#This Row],[Elements at Risk]],RiskStatements[Include],1)</f>
        <v>#DIV/0!</v>
      </c>
      <c r="G4"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4" s="175" t="e">
        <f>AVERAGEIFS(RiskStatements[Risk Score - 2050],RiskStatements[Elements at Risk],EaRSummary[[#This Row],[Elements at Risk]],RiskStatements[Include],1)</f>
        <v>#DIV/0!</v>
      </c>
      <c r="I4" s="175" t="e">
        <f>AVERAGEIFS(RiskStatements[Risk Score - 2100],RiskStatements[Elements at Risk],EaRSummary[[#This Row],[Elements at Risk]],RiskStatements[Include],1)</f>
        <v>#DIV/0!</v>
      </c>
      <c r="J4" s="175">
        <f>IF(COUNTIFS(RiskStatements[Elements at Risk],EaRSummary[[#This Row],[Elements at Risk]],RiskStatements[Include],1)&gt;0,1,0)</f>
        <v>0</v>
      </c>
    </row>
    <row r="5" spans="1:10" x14ac:dyDescent="0.35">
      <c r="A5" s="175" t="s">
        <v>210</v>
      </c>
      <c r="B5" s="175" t="str" cm="1">
        <f t="array" ref="B5">_xlfn.XLOOKUP(1,(RatingOrder[Present Threshold Lower]&lt;EaRSummary[[#This Row],[Average Risk Score - Present]])*(RatingOrder[Present Threshold Upper]&gt;=EaRSummary[[#This Row],[Average Risk Score - Present]]),RatingOrder[Rating Order],"",0)</f>
        <v/>
      </c>
      <c r="C5" s="175" t="str" cm="1">
        <f t="array" ref="C5">_xlfn.XLOOKUP(1,(RatingOrder[Future Threshold Lower]&lt;EaRSummary[[#This Row],[Average Risk Score - Future]])*(RatingOrder[Future Threshold Upper]&gt;=EaRSummary[[#This Row],[Average Risk Score - Future]]),RatingOrder[Rating Order],"",0)</f>
        <v/>
      </c>
      <c r="D5" s="175" t="str" cm="1">
        <f t="array" ref="D5">_xlfn.XLOOKUP(1,(RatingOrder[2050 Threshold Lower]&lt;EaRSummary[[#This Row],[Average Risk Score - 2050]])*(RatingOrder[2050 Threshold Upper]&gt;=EaRSummary[[#This Row],[Average Risk Score - 2050]]),RatingOrder[Rating Order],"",0)</f>
        <v/>
      </c>
      <c r="E5" s="175" t="str" cm="1">
        <f t="array" ref="E5">_xlfn.XLOOKUP(1,(RatingOrder[2100 Threshold Lower]&lt;EaRSummary[[#This Row],[Average Risk Score - 2100]])*(RatingOrder[2100 Threshold Upper]&gt;=EaRSummary[[#This Row],[Average Risk Score - 2100]]),RatingOrder[Rating Order],"",0)</f>
        <v/>
      </c>
      <c r="F5" s="175" t="e">
        <f>AVERAGEIFS(RiskStatements[Risk Score - Present],RiskStatements[Elements at Risk],EaRSummary[[#This Row],[Elements at Risk]],RiskStatements[Include],1)</f>
        <v>#DIV/0!</v>
      </c>
      <c r="G5"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5" s="175" t="e">
        <f>AVERAGEIFS(RiskStatements[Risk Score - 2050],RiskStatements[Elements at Risk],EaRSummary[[#This Row],[Elements at Risk]],RiskStatements[Include],1)</f>
        <v>#DIV/0!</v>
      </c>
      <c r="I5" s="175" t="e">
        <f>AVERAGEIFS(RiskStatements[Risk Score - 2100],RiskStatements[Elements at Risk],EaRSummary[[#This Row],[Elements at Risk]],RiskStatements[Include],1)</f>
        <v>#DIV/0!</v>
      </c>
      <c r="J5" s="175">
        <f>IF(COUNTIFS(RiskStatements[Elements at Risk],EaRSummary[[#This Row],[Elements at Risk]],RiskStatements[Include],1)&gt;0,1,0)</f>
        <v>0</v>
      </c>
    </row>
    <row r="6" spans="1:10" x14ac:dyDescent="0.35">
      <c r="A6" s="175" t="s">
        <v>218</v>
      </c>
      <c r="B6" s="175" t="str" cm="1">
        <f t="array" ref="B6">_xlfn.XLOOKUP(1,(RatingOrder[Present Threshold Lower]&lt;EaRSummary[[#This Row],[Average Risk Score - Present]])*(RatingOrder[Present Threshold Upper]&gt;=EaRSummary[[#This Row],[Average Risk Score - Present]]),RatingOrder[Rating Order],"",0)</f>
        <v/>
      </c>
      <c r="C6" s="175" t="str" cm="1">
        <f t="array" ref="C6">_xlfn.XLOOKUP(1,(RatingOrder[Future Threshold Lower]&lt;EaRSummary[[#This Row],[Average Risk Score - Future]])*(RatingOrder[Future Threshold Upper]&gt;=EaRSummary[[#This Row],[Average Risk Score - Future]]),RatingOrder[Rating Order],"",0)</f>
        <v/>
      </c>
      <c r="D6" s="175" t="str" cm="1">
        <f t="array" ref="D6">_xlfn.XLOOKUP(1,(RatingOrder[2050 Threshold Lower]&lt;EaRSummary[[#This Row],[Average Risk Score - 2050]])*(RatingOrder[2050 Threshold Upper]&gt;=EaRSummary[[#This Row],[Average Risk Score - 2050]]),RatingOrder[Rating Order],"",0)</f>
        <v/>
      </c>
      <c r="E6" s="175" t="str" cm="1">
        <f t="array" ref="E6">_xlfn.XLOOKUP(1,(RatingOrder[2100 Threshold Lower]&lt;EaRSummary[[#This Row],[Average Risk Score - 2100]])*(RatingOrder[2100 Threshold Upper]&gt;=EaRSummary[[#This Row],[Average Risk Score - 2100]]),RatingOrder[Rating Order],"",0)</f>
        <v/>
      </c>
      <c r="F6" s="175" t="e">
        <f>AVERAGEIFS(RiskStatements[Risk Score - Present],RiskStatements[Elements at Risk],EaRSummary[[#This Row],[Elements at Risk]],RiskStatements[Include],1)</f>
        <v>#DIV/0!</v>
      </c>
      <c r="G6"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6" s="175" t="e">
        <f>AVERAGEIFS(RiskStatements[Risk Score - 2050],RiskStatements[Elements at Risk],EaRSummary[[#This Row],[Elements at Risk]],RiskStatements[Include],1)</f>
        <v>#DIV/0!</v>
      </c>
      <c r="I6" s="175" t="e">
        <f>AVERAGEIFS(RiskStatements[Risk Score - 2100],RiskStatements[Elements at Risk],EaRSummary[[#This Row],[Elements at Risk]],RiskStatements[Include],1)</f>
        <v>#DIV/0!</v>
      </c>
      <c r="J6" s="175">
        <f>IF(COUNTIFS(RiskStatements[Elements at Risk],EaRSummary[[#This Row],[Elements at Risk]],RiskStatements[Include],1)&gt;0,1,0)</f>
        <v>0</v>
      </c>
    </row>
    <row r="7" spans="1:10" x14ac:dyDescent="0.35">
      <c r="A7" s="175" t="s">
        <v>220</v>
      </c>
      <c r="B7" s="175" t="str" cm="1">
        <f t="array" ref="B7">_xlfn.XLOOKUP(1,(RatingOrder[Present Threshold Lower]&lt;EaRSummary[[#This Row],[Average Risk Score - Present]])*(RatingOrder[Present Threshold Upper]&gt;=EaRSummary[[#This Row],[Average Risk Score - Present]]),RatingOrder[Rating Order],"",0)</f>
        <v/>
      </c>
      <c r="C7" s="175" t="str" cm="1">
        <f t="array" ref="C7">_xlfn.XLOOKUP(1,(RatingOrder[Future Threshold Lower]&lt;EaRSummary[[#This Row],[Average Risk Score - Future]])*(RatingOrder[Future Threshold Upper]&gt;=EaRSummary[[#This Row],[Average Risk Score - Future]]),RatingOrder[Rating Order],"",0)</f>
        <v/>
      </c>
      <c r="D7" s="175" t="str" cm="1">
        <f t="array" ref="D7">_xlfn.XLOOKUP(1,(RatingOrder[2050 Threshold Lower]&lt;EaRSummary[[#This Row],[Average Risk Score - 2050]])*(RatingOrder[2050 Threshold Upper]&gt;=EaRSummary[[#This Row],[Average Risk Score - 2050]]),RatingOrder[Rating Order],"",0)</f>
        <v/>
      </c>
      <c r="E7" s="175" t="str" cm="1">
        <f t="array" ref="E7">_xlfn.XLOOKUP(1,(RatingOrder[2100 Threshold Lower]&lt;EaRSummary[[#This Row],[Average Risk Score - 2100]])*(RatingOrder[2100 Threshold Upper]&gt;=EaRSummary[[#This Row],[Average Risk Score - 2100]]),RatingOrder[Rating Order],"",0)</f>
        <v/>
      </c>
      <c r="F7" s="175" t="e">
        <f>AVERAGEIFS(RiskStatements[Risk Score - Present],RiskStatements[Elements at Risk],EaRSummary[[#This Row],[Elements at Risk]],RiskStatements[Include],1)</f>
        <v>#DIV/0!</v>
      </c>
      <c r="G7"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7" s="175" t="e">
        <f>AVERAGEIFS(RiskStatements[Risk Score - 2050],RiskStatements[Elements at Risk],EaRSummary[[#This Row],[Elements at Risk]],RiskStatements[Include],1)</f>
        <v>#DIV/0!</v>
      </c>
      <c r="I7" s="175" t="e">
        <f>AVERAGEIFS(RiskStatements[Risk Score - 2100],RiskStatements[Elements at Risk],EaRSummary[[#This Row],[Elements at Risk]],RiskStatements[Include],1)</f>
        <v>#DIV/0!</v>
      </c>
      <c r="J7" s="175">
        <f>IF(COUNTIFS(RiskStatements[Elements at Risk],EaRSummary[[#This Row],[Elements at Risk]],RiskStatements[Include],1)&gt;0,1,0)</f>
        <v>0</v>
      </c>
    </row>
    <row r="8" spans="1:10" x14ac:dyDescent="0.35">
      <c r="A8" s="175" t="s">
        <v>67</v>
      </c>
      <c r="B8" s="175" t="str" cm="1">
        <f t="array" ref="B8">_xlfn.XLOOKUP(1,(RatingOrder[Present Threshold Lower]&lt;EaRSummary[[#This Row],[Average Risk Score - Present]])*(RatingOrder[Present Threshold Upper]&gt;=EaRSummary[[#This Row],[Average Risk Score - Present]]),RatingOrder[Rating Order],"",0)</f>
        <v/>
      </c>
      <c r="C8" s="175" t="str" cm="1">
        <f t="array" ref="C8">_xlfn.XLOOKUP(1,(RatingOrder[Future Threshold Lower]&lt;EaRSummary[[#This Row],[Average Risk Score - Future]])*(RatingOrder[Future Threshold Upper]&gt;=EaRSummary[[#This Row],[Average Risk Score - Future]]),RatingOrder[Rating Order],"",0)</f>
        <v/>
      </c>
      <c r="D8" s="175" t="str" cm="1">
        <f t="array" ref="D8">_xlfn.XLOOKUP(1,(RatingOrder[2050 Threshold Lower]&lt;EaRSummary[[#This Row],[Average Risk Score - 2050]])*(RatingOrder[2050 Threshold Upper]&gt;=EaRSummary[[#This Row],[Average Risk Score - 2050]]),RatingOrder[Rating Order],"",0)</f>
        <v/>
      </c>
      <c r="E8" s="175" t="str" cm="1">
        <f t="array" ref="E8">_xlfn.XLOOKUP(1,(RatingOrder[2100 Threshold Lower]&lt;EaRSummary[[#This Row],[Average Risk Score - 2100]])*(RatingOrder[2100 Threshold Upper]&gt;=EaRSummary[[#This Row],[Average Risk Score - 2100]]),RatingOrder[Rating Order],"",0)</f>
        <v/>
      </c>
      <c r="F8" s="175" t="e">
        <f>AVERAGEIFS(RiskStatements[Risk Score - Present],RiskStatements[Elements at Risk],EaRSummary[[#This Row],[Elements at Risk]],RiskStatements[Include],1)</f>
        <v>#DIV/0!</v>
      </c>
      <c r="G8"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8" s="175" t="e">
        <f>AVERAGEIFS(RiskStatements[Risk Score - 2050],RiskStatements[Elements at Risk],EaRSummary[[#This Row],[Elements at Risk]],RiskStatements[Include],1)</f>
        <v>#DIV/0!</v>
      </c>
      <c r="I8" s="175" t="e">
        <f>AVERAGEIFS(RiskStatements[Risk Score - 2100],RiskStatements[Elements at Risk],EaRSummary[[#This Row],[Elements at Risk]],RiskStatements[Include],1)</f>
        <v>#DIV/0!</v>
      </c>
      <c r="J8" s="175">
        <f>IF(COUNTIFS(RiskStatements[Elements at Risk],EaRSummary[[#This Row],[Elements at Risk]],RiskStatements[Include],1)&gt;0,1,0)</f>
        <v>0</v>
      </c>
    </row>
    <row r="9" spans="1:10" x14ac:dyDescent="0.35">
      <c r="A9" s="175" t="s">
        <v>121</v>
      </c>
      <c r="B9" s="175" t="str" cm="1">
        <f t="array" ref="B9">_xlfn.XLOOKUP(1,(RatingOrder[Present Threshold Lower]&lt;EaRSummary[[#This Row],[Average Risk Score - Present]])*(RatingOrder[Present Threshold Upper]&gt;=EaRSummary[[#This Row],[Average Risk Score - Present]]),RatingOrder[Rating Order],"",0)</f>
        <v/>
      </c>
      <c r="C9" s="175" t="str" cm="1">
        <f t="array" ref="C9">_xlfn.XLOOKUP(1,(RatingOrder[Future Threshold Lower]&lt;EaRSummary[[#This Row],[Average Risk Score - Future]])*(RatingOrder[Future Threshold Upper]&gt;=EaRSummary[[#This Row],[Average Risk Score - Future]]),RatingOrder[Rating Order],"",0)</f>
        <v/>
      </c>
      <c r="D9" s="175" t="str" cm="1">
        <f t="array" ref="D9">_xlfn.XLOOKUP(1,(RatingOrder[2050 Threshold Lower]&lt;EaRSummary[[#This Row],[Average Risk Score - 2050]])*(RatingOrder[2050 Threshold Upper]&gt;=EaRSummary[[#This Row],[Average Risk Score - 2050]]),RatingOrder[Rating Order],"",0)</f>
        <v/>
      </c>
      <c r="E9" s="175" t="str" cm="1">
        <f t="array" ref="E9">_xlfn.XLOOKUP(1,(RatingOrder[2100 Threshold Lower]&lt;EaRSummary[[#This Row],[Average Risk Score - 2100]])*(RatingOrder[2100 Threshold Upper]&gt;=EaRSummary[[#This Row],[Average Risk Score - 2100]]),RatingOrder[Rating Order],"",0)</f>
        <v/>
      </c>
      <c r="F9" s="175" t="e">
        <f>AVERAGEIFS(RiskStatements[Risk Score - Present],RiskStatements[Elements at Risk],EaRSummary[[#This Row],[Elements at Risk]],RiskStatements[Include],1)</f>
        <v>#DIV/0!</v>
      </c>
      <c r="G9"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9" s="175" t="e">
        <f>AVERAGEIFS(RiskStatements[Risk Score - 2050],RiskStatements[Elements at Risk],EaRSummary[[#This Row],[Elements at Risk]],RiskStatements[Include],1)</f>
        <v>#DIV/0!</v>
      </c>
      <c r="I9" s="175" t="e">
        <f>AVERAGEIFS(RiskStatements[Risk Score - 2100],RiskStatements[Elements at Risk],EaRSummary[[#This Row],[Elements at Risk]],RiskStatements[Include],1)</f>
        <v>#DIV/0!</v>
      </c>
      <c r="J9" s="175">
        <f>IF(COUNTIFS(RiskStatements[Elements at Risk],EaRSummary[[#This Row],[Elements at Risk]],RiskStatements[Include],1)&gt;0,1,0)</f>
        <v>0</v>
      </c>
    </row>
    <row r="10" spans="1:10" x14ac:dyDescent="0.35">
      <c r="A10" s="175" t="s">
        <v>70</v>
      </c>
      <c r="B10" s="175" t="str" cm="1">
        <f t="array" ref="B10">_xlfn.XLOOKUP(1,(RatingOrder[Present Threshold Lower]&lt;EaRSummary[[#This Row],[Average Risk Score - Present]])*(RatingOrder[Present Threshold Upper]&gt;=EaRSummary[[#This Row],[Average Risk Score - Present]]),RatingOrder[Rating Order],"",0)</f>
        <v/>
      </c>
      <c r="C10" s="175" t="str" cm="1">
        <f t="array" ref="C10">_xlfn.XLOOKUP(1,(RatingOrder[Future Threshold Lower]&lt;EaRSummary[[#This Row],[Average Risk Score - Future]])*(RatingOrder[Future Threshold Upper]&gt;=EaRSummary[[#This Row],[Average Risk Score - Future]]),RatingOrder[Rating Order],"",0)</f>
        <v/>
      </c>
      <c r="D10" s="175" t="str" cm="1">
        <f t="array" ref="D10">_xlfn.XLOOKUP(1,(RatingOrder[2050 Threshold Lower]&lt;EaRSummary[[#This Row],[Average Risk Score - 2050]])*(RatingOrder[2050 Threshold Upper]&gt;=EaRSummary[[#This Row],[Average Risk Score - 2050]]),RatingOrder[Rating Order],"",0)</f>
        <v/>
      </c>
      <c r="E10" s="175" t="str" cm="1">
        <f t="array" ref="E10">_xlfn.XLOOKUP(1,(RatingOrder[2100 Threshold Lower]&lt;EaRSummary[[#This Row],[Average Risk Score - 2100]])*(RatingOrder[2100 Threshold Upper]&gt;=EaRSummary[[#This Row],[Average Risk Score - 2100]]),RatingOrder[Rating Order],"",0)</f>
        <v/>
      </c>
      <c r="F10" s="175" t="e">
        <f>AVERAGEIFS(RiskStatements[Risk Score - Present],RiskStatements[Elements at Risk],EaRSummary[[#This Row],[Elements at Risk]],RiskStatements[Include],1)</f>
        <v>#DIV/0!</v>
      </c>
      <c r="G10"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10" s="175" t="e">
        <f>AVERAGEIFS(RiskStatements[Risk Score - 2050],RiskStatements[Elements at Risk],EaRSummary[[#This Row],[Elements at Risk]],RiskStatements[Include],1)</f>
        <v>#DIV/0!</v>
      </c>
      <c r="I10" s="175" t="e">
        <f>AVERAGEIFS(RiskStatements[Risk Score - 2100],RiskStatements[Elements at Risk],EaRSummary[[#This Row],[Elements at Risk]],RiskStatements[Include],1)</f>
        <v>#DIV/0!</v>
      </c>
      <c r="J10" s="175">
        <f>IF(COUNTIFS(RiskStatements[Elements at Risk],EaRSummary[[#This Row],[Elements at Risk]],RiskStatements[Include],1)&gt;0,1,0)</f>
        <v>0</v>
      </c>
    </row>
    <row r="11" spans="1:10" x14ac:dyDescent="0.35">
      <c r="A11" s="175" t="s">
        <v>223</v>
      </c>
      <c r="B11" s="175" t="str" cm="1">
        <f t="array" ref="B11">_xlfn.XLOOKUP(1,(RatingOrder[Present Threshold Lower]&lt;EaRSummary[[#This Row],[Average Risk Score - Present]])*(RatingOrder[Present Threshold Upper]&gt;=EaRSummary[[#This Row],[Average Risk Score - Present]]),RatingOrder[Rating Order],"",0)</f>
        <v/>
      </c>
      <c r="C11" s="175" t="str" cm="1">
        <f t="array" ref="C11">_xlfn.XLOOKUP(1,(RatingOrder[Future Threshold Lower]&lt;EaRSummary[[#This Row],[Average Risk Score - Future]])*(RatingOrder[Future Threshold Upper]&gt;=EaRSummary[[#This Row],[Average Risk Score - Future]]),RatingOrder[Rating Order],"",0)</f>
        <v/>
      </c>
      <c r="D11" s="175" t="str" cm="1">
        <f t="array" ref="D11">_xlfn.XLOOKUP(1,(RatingOrder[2050 Threshold Lower]&lt;EaRSummary[[#This Row],[Average Risk Score - 2050]])*(RatingOrder[2050 Threshold Upper]&gt;=EaRSummary[[#This Row],[Average Risk Score - 2050]]),RatingOrder[Rating Order],"",0)</f>
        <v/>
      </c>
      <c r="E11" s="175" t="str" cm="1">
        <f t="array" ref="E11">_xlfn.XLOOKUP(1,(RatingOrder[2100 Threshold Lower]&lt;EaRSummary[[#This Row],[Average Risk Score - 2100]])*(RatingOrder[2100 Threshold Upper]&gt;=EaRSummary[[#This Row],[Average Risk Score - 2100]]),RatingOrder[Rating Order],"",0)</f>
        <v/>
      </c>
      <c r="F11" s="175" t="e">
        <f>AVERAGEIFS(RiskStatements[Risk Score - Present],RiskStatements[Elements at Risk],EaRSummary[[#This Row],[Elements at Risk]],RiskStatements[Include],1)</f>
        <v>#DIV/0!</v>
      </c>
      <c r="G11"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11" s="175" t="e">
        <f>AVERAGEIFS(RiskStatements[Risk Score - 2050],RiskStatements[Elements at Risk],EaRSummary[[#This Row],[Elements at Risk]],RiskStatements[Include],1)</f>
        <v>#DIV/0!</v>
      </c>
      <c r="I11" s="175" t="e">
        <f>AVERAGEIFS(RiskStatements[Risk Score - 2100],RiskStatements[Elements at Risk],EaRSummary[[#This Row],[Elements at Risk]],RiskStatements[Include],1)</f>
        <v>#DIV/0!</v>
      </c>
      <c r="J11" s="175">
        <f>IF(COUNTIFS(RiskStatements[Elements at Risk],EaRSummary[[#This Row],[Elements at Risk]],RiskStatements[Include],1)&gt;0,1,0)</f>
        <v>0</v>
      </c>
    </row>
    <row r="12" spans="1:10" x14ac:dyDescent="0.35">
      <c r="A12" s="175" t="s">
        <v>122</v>
      </c>
      <c r="B12" s="175" t="str" cm="1">
        <f t="array" ref="B12">_xlfn.XLOOKUP(1,(RatingOrder[Present Threshold Lower]&lt;EaRSummary[[#This Row],[Average Risk Score - Present]])*(RatingOrder[Present Threshold Upper]&gt;=EaRSummary[[#This Row],[Average Risk Score - Present]]),RatingOrder[Rating Order],"",0)</f>
        <v/>
      </c>
      <c r="C12" s="175" t="str" cm="1">
        <f t="array" ref="C12">_xlfn.XLOOKUP(1,(RatingOrder[Future Threshold Lower]&lt;EaRSummary[[#This Row],[Average Risk Score - Future]])*(RatingOrder[Future Threshold Upper]&gt;=EaRSummary[[#This Row],[Average Risk Score - Future]]),RatingOrder[Rating Order],"",0)</f>
        <v/>
      </c>
      <c r="D12" s="175" t="str" cm="1">
        <f t="array" ref="D12">_xlfn.XLOOKUP(1,(RatingOrder[2050 Threshold Lower]&lt;EaRSummary[[#This Row],[Average Risk Score - 2050]])*(RatingOrder[2050 Threshold Upper]&gt;=EaRSummary[[#This Row],[Average Risk Score - 2050]]),RatingOrder[Rating Order],"",0)</f>
        <v/>
      </c>
      <c r="E12" s="175" t="str" cm="1">
        <f t="array" ref="E12">_xlfn.XLOOKUP(1,(RatingOrder[2100 Threshold Lower]&lt;EaRSummary[[#This Row],[Average Risk Score - 2100]])*(RatingOrder[2100 Threshold Upper]&gt;=EaRSummary[[#This Row],[Average Risk Score - 2100]]),RatingOrder[Rating Order],"",0)</f>
        <v/>
      </c>
      <c r="F12" s="175" t="e">
        <f>AVERAGEIFS(RiskStatements[Risk Score - Present],RiskStatements[Elements at Risk],EaRSummary[[#This Row],[Elements at Risk]],RiskStatements[Include],1)</f>
        <v>#DIV/0!</v>
      </c>
      <c r="G12"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12" s="175" t="e">
        <f>AVERAGEIFS(RiskStatements[Risk Score - 2050],RiskStatements[Elements at Risk],EaRSummary[[#This Row],[Elements at Risk]],RiskStatements[Include],1)</f>
        <v>#DIV/0!</v>
      </c>
      <c r="I12" s="175" t="e">
        <f>AVERAGEIFS(RiskStatements[Risk Score - 2100],RiskStatements[Elements at Risk],EaRSummary[[#This Row],[Elements at Risk]],RiskStatements[Include],1)</f>
        <v>#DIV/0!</v>
      </c>
      <c r="J12" s="175">
        <f>IF(COUNTIFS(RiskStatements[Elements at Risk],EaRSummary[[#This Row],[Elements at Risk]],RiskStatements[Include],1)&gt;0,1,0)</f>
        <v>0</v>
      </c>
    </row>
    <row r="13" spans="1:10" x14ac:dyDescent="0.35">
      <c r="A13" s="175" t="s">
        <v>224</v>
      </c>
      <c r="B13" s="175" t="str" cm="1">
        <f t="array" ref="B13">_xlfn.XLOOKUP(1,(RatingOrder[Present Threshold Lower]&lt;EaRSummary[[#This Row],[Average Risk Score - Present]])*(RatingOrder[Present Threshold Upper]&gt;=EaRSummary[[#This Row],[Average Risk Score - Present]]),RatingOrder[Rating Order],"",0)</f>
        <v/>
      </c>
      <c r="C13" s="175" t="str" cm="1">
        <f t="array" ref="C13">_xlfn.XLOOKUP(1,(RatingOrder[Future Threshold Lower]&lt;EaRSummary[[#This Row],[Average Risk Score - Future]])*(RatingOrder[Future Threshold Upper]&gt;=EaRSummary[[#This Row],[Average Risk Score - Future]]),RatingOrder[Rating Order],"",0)</f>
        <v/>
      </c>
      <c r="D13" s="175" t="str" cm="1">
        <f t="array" ref="D13">_xlfn.XLOOKUP(1,(RatingOrder[2050 Threshold Lower]&lt;EaRSummary[[#This Row],[Average Risk Score - 2050]])*(RatingOrder[2050 Threshold Upper]&gt;=EaRSummary[[#This Row],[Average Risk Score - 2050]]),RatingOrder[Rating Order],"",0)</f>
        <v/>
      </c>
      <c r="E13" s="175" t="str" cm="1">
        <f t="array" ref="E13">_xlfn.XLOOKUP(1,(RatingOrder[2100 Threshold Lower]&lt;EaRSummary[[#This Row],[Average Risk Score - 2100]])*(RatingOrder[2100 Threshold Upper]&gt;=EaRSummary[[#This Row],[Average Risk Score - 2100]]),RatingOrder[Rating Order],"",0)</f>
        <v/>
      </c>
      <c r="F13" s="175" t="e">
        <f>AVERAGEIFS(RiskStatements[Risk Score - Present],RiskStatements[Elements at Risk],EaRSummary[[#This Row],[Elements at Risk]],RiskStatements[Include],1)</f>
        <v>#DIV/0!</v>
      </c>
      <c r="G13"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13" s="175" t="e">
        <f>AVERAGEIFS(RiskStatements[Risk Score - 2050],RiskStatements[Elements at Risk],EaRSummary[[#This Row],[Elements at Risk]],RiskStatements[Include],1)</f>
        <v>#DIV/0!</v>
      </c>
      <c r="I13" s="175" t="e">
        <f>AVERAGEIFS(RiskStatements[Risk Score - 2100],RiskStatements[Elements at Risk],EaRSummary[[#This Row],[Elements at Risk]],RiskStatements[Include],1)</f>
        <v>#DIV/0!</v>
      </c>
      <c r="J13" s="175">
        <f>IF(COUNTIFS(RiskStatements[Elements at Risk],EaRSummary[[#This Row],[Elements at Risk]],RiskStatements[Include],1)&gt;0,1,0)</f>
        <v>0</v>
      </c>
    </row>
    <row r="14" spans="1:10" x14ac:dyDescent="0.35">
      <c r="A14" s="175" t="s">
        <v>212</v>
      </c>
      <c r="B14" s="175" t="str" cm="1">
        <f t="array" ref="B14">_xlfn.XLOOKUP(1,(RatingOrder[Present Threshold Lower]&lt;EaRSummary[[#This Row],[Average Risk Score - Present]])*(RatingOrder[Present Threshold Upper]&gt;=EaRSummary[[#This Row],[Average Risk Score - Present]]),RatingOrder[Rating Order],"",0)</f>
        <v/>
      </c>
      <c r="C14" s="175" t="str" cm="1">
        <f t="array" ref="C14">_xlfn.XLOOKUP(1,(RatingOrder[Future Threshold Lower]&lt;EaRSummary[[#This Row],[Average Risk Score - Future]])*(RatingOrder[Future Threshold Upper]&gt;=EaRSummary[[#This Row],[Average Risk Score - Future]]),RatingOrder[Rating Order],"",0)</f>
        <v/>
      </c>
      <c r="D14" s="175" t="str" cm="1">
        <f t="array" ref="D14">_xlfn.XLOOKUP(1,(RatingOrder[2050 Threshold Lower]&lt;EaRSummary[[#This Row],[Average Risk Score - 2050]])*(RatingOrder[2050 Threshold Upper]&gt;=EaRSummary[[#This Row],[Average Risk Score - 2050]]),RatingOrder[Rating Order],"",0)</f>
        <v/>
      </c>
      <c r="E14" s="175" t="str" cm="1">
        <f t="array" ref="E14">_xlfn.XLOOKUP(1,(RatingOrder[2100 Threshold Lower]&lt;EaRSummary[[#This Row],[Average Risk Score - 2100]])*(RatingOrder[2100 Threshold Upper]&gt;=EaRSummary[[#This Row],[Average Risk Score - 2100]]),RatingOrder[Rating Order],"",0)</f>
        <v/>
      </c>
      <c r="F14" s="175" t="e">
        <f>AVERAGEIFS(RiskStatements[Risk Score - Present],RiskStatements[Elements at Risk],EaRSummary[[#This Row],[Elements at Risk]],RiskStatements[Include],1)</f>
        <v>#DIV/0!</v>
      </c>
      <c r="G14"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14" s="175" t="e">
        <f>AVERAGEIFS(RiskStatements[Risk Score - 2050],RiskStatements[Elements at Risk],EaRSummary[[#This Row],[Elements at Risk]],RiskStatements[Include],1)</f>
        <v>#DIV/0!</v>
      </c>
      <c r="I14" s="175" t="e">
        <f>AVERAGEIFS(RiskStatements[Risk Score - 2100],RiskStatements[Elements at Risk],EaRSummary[[#This Row],[Elements at Risk]],RiskStatements[Include],1)</f>
        <v>#DIV/0!</v>
      </c>
      <c r="J14" s="175">
        <f>IF(COUNTIFS(RiskStatements[Elements at Risk],EaRSummary[[#This Row],[Elements at Risk]],RiskStatements[Include],1)&gt;0,1,0)</f>
        <v>0</v>
      </c>
    </row>
    <row r="15" spans="1:10" x14ac:dyDescent="0.35">
      <c r="A15" s="175" t="s">
        <v>74</v>
      </c>
      <c r="B15" s="175" t="str" cm="1">
        <f t="array" ref="B15">_xlfn.XLOOKUP(1,(RatingOrder[Present Threshold Lower]&lt;EaRSummary[[#This Row],[Average Risk Score - Present]])*(RatingOrder[Present Threshold Upper]&gt;=EaRSummary[[#This Row],[Average Risk Score - Present]]),RatingOrder[Rating Order],"",0)</f>
        <v/>
      </c>
      <c r="C15" s="175" t="str" cm="1">
        <f t="array" ref="C15">_xlfn.XLOOKUP(1,(RatingOrder[Future Threshold Lower]&lt;EaRSummary[[#This Row],[Average Risk Score - Future]])*(RatingOrder[Future Threshold Upper]&gt;=EaRSummary[[#This Row],[Average Risk Score - Future]]),RatingOrder[Rating Order],"",0)</f>
        <v/>
      </c>
      <c r="D15" s="175" t="str" cm="1">
        <f t="array" ref="D15">_xlfn.XLOOKUP(1,(RatingOrder[2050 Threshold Lower]&lt;EaRSummary[[#This Row],[Average Risk Score - 2050]])*(RatingOrder[2050 Threshold Upper]&gt;=EaRSummary[[#This Row],[Average Risk Score - 2050]]),RatingOrder[Rating Order],"",0)</f>
        <v/>
      </c>
      <c r="E15" s="175" t="str" cm="1">
        <f t="array" ref="E15">_xlfn.XLOOKUP(1,(RatingOrder[2100 Threshold Lower]&lt;EaRSummary[[#This Row],[Average Risk Score - 2100]])*(RatingOrder[2100 Threshold Upper]&gt;=EaRSummary[[#This Row],[Average Risk Score - 2100]]),RatingOrder[Rating Order],"",0)</f>
        <v/>
      </c>
      <c r="F15" s="175" t="e">
        <f>AVERAGEIFS(RiskStatements[Risk Score - Present],RiskStatements[Elements at Risk],EaRSummary[[#This Row],[Elements at Risk]],RiskStatements[Include],1)</f>
        <v>#DIV/0!</v>
      </c>
      <c r="G15"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15" s="175" t="e">
        <f>AVERAGEIFS(RiskStatements[Risk Score - 2050],RiskStatements[Elements at Risk],EaRSummary[[#This Row],[Elements at Risk]],RiskStatements[Include],1)</f>
        <v>#DIV/0!</v>
      </c>
      <c r="I15" s="175" t="e">
        <f>AVERAGEIFS(RiskStatements[Risk Score - 2100],RiskStatements[Elements at Risk],EaRSummary[[#This Row],[Elements at Risk]],RiskStatements[Include],1)</f>
        <v>#DIV/0!</v>
      </c>
      <c r="J15" s="175">
        <f>IF(COUNTIFS(RiskStatements[Elements at Risk],EaRSummary[[#This Row],[Elements at Risk]],RiskStatements[Include],1)&gt;0,1,0)</f>
        <v>0</v>
      </c>
    </row>
    <row r="16" spans="1:10" x14ac:dyDescent="0.35">
      <c r="A16" s="175" t="s">
        <v>227</v>
      </c>
      <c r="B16" s="175" t="str" cm="1">
        <f t="array" ref="B16">_xlfn.XLOOKUP(1,(RatingOrder[Present Threshold Lower]&lt;EaRSummary[[#This Row],[Average Risk Score - Present]])*(RatingOrder[Present Threshold Upper]&gt;=EaRSummary[[#This Row],[Average Risk Score - Present]]),RatingOrder[Rating Order],"",0)</f>
        <v/>
      </c>
      <c r="C16" s="175" t="str" cm="1">
        <f t="array" ref="C16">_xlfn.XLOOKUP(1,(RatingOrder[Future Threshold Lower]&lt;EaRSummary[[#This Row],[Average Risk Score - Future]])*(RatingOrder[Future Threshold Upper]&gt;=EaRSummary[[#This Row],[Average Risk Score - Future]]),RatingOrder[Rating Order],"",0)</f>
        <v/>
      </c>
      <c r="D16" s="175" t="str" cm="1">
        <f t="array" ref="D16">_xlfn.XLOOKUP(1,(RatingOrder[2050 Threshold Lower]&lt;EaRSummary[[#This Row],[Average Risk Score - 2050]])*(RatingOrder[2050 Threshold Upper]&gt;=EaRSummary[[#This Row],[Average Risk Score - 2050]]),RatingOrder[Rating Order],"",0)</f>
        <v/>
      </c>
      <c r="E16" s="175" t="str" cm="1">
        <f t="array" ref="E16">_xlfn.XLOOKUP(1,(RatingOrder[2100 Threshold Lower]&lt;EaRSummary[[#This Row],[Average Risk Score - 2100]])*(RatingOrder[2100 Threshold Upper]&gt;=EaRSummary[[#This Row],[Average Risk Score - 2100]]),RatingOrder[Rating Order],"",0)</f>
        <v/>
      </c>
      <c r="F16" s="175" t="e">
        <f>AVERAGEIFS(RiskStatements[Risk Score - Present],RiskStatements[Elements at Risk],EaRSummary[[#This Row],[Elements at Risk]],RiskStatements[Include],1)</f>
        <v>#DIV/0!</v>
      </c>
      <c r="G16"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16" s="175" t="e">
        <f>AVERAGEIFS(RiskStatements[Risk Score - 2050],RiskStatements[Elements at Risk],EaRSummary[[#This Row],[Elements at Risk]],RiskStatements[Include],1)</f>
        <v>#DIV/0!</v>
      </c>
      <c r="I16" s="175" t="e">
        <f>AVERAGEIFS(RiskStatements[Risk Score - 2100],RiskStatements[Elements at Risk],EaRSummary[[#This Row],[Elements at Risk]],RiskStatements[Include],1)</f>
        <v>#DIV/0!</v>
      </c>
      <c r="J16" s="175">
        <f>IF(COUNTIFS(RiskStatements[Elements at Risk],EaRSummary[[#This Row],[Elements at Risk]],RiskStatements[Include],1)&gt;0,1,0)</f>
        <v>0</v>
      </c>
    </row>
    <row r="17" spans="1:10" x14ac:dyDescent="0.35">
      <c r="A17" s="175" t="s">
        <v>226</v>
      </c>
      <c r="B17" s="175" t="str" cm="1">
        <f t="array" ref="B17">_xlfn.XLOOKUP(1,(RatingOrder[Present Threshold Lower]&lt;EaRSummary[[#This Row],[Average Risk Score - Present]])*(RatingOrder[Present Threshold Upper]&gt;=EaRSummary[[#This Row],[Average Risk Score - Present]]),RatingOrder[Rating Order],"",0)</f>
        <v/>
      </c>
      <c r="C17" s="175" t="str" cm="1">
        <f t="array" ref="C17">_xlfn.XLOOKUP(1,(RatingOrder[Future Threshold Lower]&lt;EaRSummary[[#This Row],[Average Risk Score - Future]])*(RatingOrder[Future Threshold Upper]&gt;=EaRSummary[[#This Row],[Average Risk Score - Future]]),RatingOrder[Rating Order],"",0)</f>
        <v/>
      </c>
      <c r="D17" s="175" t="str" cm="1">
        <f t="array" ref="D17">_xlfn.XLOOKUP(1,(RatingOrder[2050 Threshold Lower]&lt;EaRSummary[[#This Row],[Average Risk Score - 2050]])*(RatingOrder[2050 Threshold Upper]&gt;=EaRSummary[[#This Row],[Average Risk Score - 2050]]),RatingOrder[Rating Order],"",0)</f>
        <v/>
      </c>
      <c r="E17" s="175" t="str" cm="1">
        <f t="array" ref="E17">_xlfn.XLOOKUP(1,(RatingOrder[2100 Threshold Lower]&lt;EaRSummary[[#This Row],[Average Risk Score - 2100]])*(RatingOrder[2100 Threshold Upper]&gt;=EaRSummary[[#This Row],[Average Risk Score - 2100]]),RatingOrder[Rating Order],"",0)</f>
        <v/>
      </c>
      <c r="F17" s="175" t="e">
        <f>AVERAGEIFS(RiskStatements[Risk Score - Present],RiskStatements[Elements at Risk],EaRSummary[[#This Row],[Elements at Risk]],RiskStatements[Include],1)</f>
        <v>#DIV/0!</v>
      </c>
      <c r="G17"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17" s="175" t="e">
        <f>AVERAGEIFS(RiskStatements[Risk Score - 2050],RiskStatements[Elements at Risk],EaRSummary[[#This Row],[Elements at Risk]],RiskStatements[Include],1)</f>
        <v>#DIV/0!</v>
      </c>
      <c r="I17" s="175" t="e">
        <f>AVERAGEIFS(RiskStatements[Risk Score - 2100],RiskStatements[Elements at Risk],EaRSummary[[#This Row],[Elements at Risk]],RiskStatements[Include],1)</f>
        <v>#DIV/0!</v>
      </c>
      <c r="J17" s="175">
        <f>IF(COUNTIFS(RiskStatements[Elements at Risk],EaRSummary[[#This Row],[Elements at Risk]],RiskStatements[Include],1)&gt;0,1,0)</f>
        <v>0</v>
      </c>
    </row>
    <row r="18" spans="1:10" x14ac:dyDescent="0.35">
      <c r="A18" s="175" t="s">
        <v>225</v>
      </c>
      <c r="B18" s="175" t="str" cm="1">
        <f t="array" ref="B18">_xlfn.XLOOKUP(1,(RatingOrder[Present Threshold Lower]&lt;EaRSummary[[#This Row],[Average Risk Score - Present]])*(RatingOrder[Present Threshold Upper]&gt;=EaRSummary[[#This Row],[Average Risk Score - Present]]),RatingOrder[Rating Order],"",0)</f>
        <v/>
      </c>
      <c r="C18" s="175" t="str" cm="1">
        <f t="array" ref="C18">_xlfn.XLOOKUP(1,(RatingOrder[Future Threshold Lower]&lt;EaRSummary[[#This Row],[Average Risk Score - Future]])*(RatingOrder[Future Threshold Upper]&gt;=EaRSummary[[#This Row],[Average Risk Score - Future]]),RatingOrder[Rating Order],"",0)</f>
        <v/>
      </c>
      <c r="D18" s="175" t="str" cm="1">
        <f t="array" ref="D18">_xlfn.XLOOKUP(1,(RatingOrder[2050 Threshold Lower]&lt;EaRSummary[[#This Row],[Average Risk Score - 2050]])*(RatingOrder[2050 Threshold Upper]&gt;=EaRSummary[[#This Row],[Average Risk Score - 2050]]),RatingOrder[Rating Order],"",0)</f>
        <v/>
      </c>
      <c r="E18" s="175" t="str" cm="1">
        <f t="array" ref="E18">_xlfn.XLOOKUP(1,(RatingOrder[2100 Threshold Lower]&lt;EaRSummary[[#This Row],[Average Risk Score - 2100]])*(RatingOrder[2100 Threshold Upper]&gt;=EaRSummary[[#This Row],[Average Risk Score - 2100]]),RatingOrder[Rating Order],"",0)</f>
        <v/>
      </c>
      <c r="F18" s="175" t="e">
        <f>AVERAGEIFS(RiskStatements[Risk Score - Present],RiskStatements[Elements at Risk],EaRSummary[[#This Row],[Elements at Risk]],RiskStatements[Include],1)</f>
        <v>#DIV/0!</v>
      </c>
      <c r="G18"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18" s="175" t="e">
        <f>AVERAGEIFS(RiskStatements[Risk Score - 2050],RiskStatements[Elements at Risk],EaRSummary[[#This Row],[Elements at Risk]],RiskStatements[Include],1)</f>
        <v>#DIV/0!</v>
      </c>
      <c r="I18" s="175" t="e">
        <f>AVERAGEIFS(RiskStatements[Risk Score - 2100],RiskStatements[Elements at Risk],EaRSummary[[#This Row],[Elements at Risk]],RiskStatements[Include],1)</f>
        <v>#DIV/0!</v>
      </c>
      <c r="J18" s="175">
        <f>IF(COUNTIFS(RiskStatements[Elements at Risk],EaRSummary[[#This Row],[Elements at Risk]],RiskStatements[Include],1)&gt;0,1,0)</f>
        <v>0</v>
      </c>
    </row>
    <row r="19" spans="1:10" x14ac:dyDescent="0.35">
      <c r="A19" s="175" t="s">
        <v>79</v>
      </c>
      <c r="B19" s="175" t="str" cm="1">
        <f t="array" ref="B19">_xlfn.XLOOKUP(1,(RatingOrder[Present Threshold Lower]&lt;EaRSummary[[#This Row],[Average Risk Score - Present]])*(RatingOrder[Present Threshold Upper]&gt;=EaRSummary[[#This Row],[Average Risk Score - Present]]),RatingOrder[Rating Order],"",0)</f>
        <v/>
      </c>
      <c r="C19" s="175" t="str" cm="1">
        <f t="array" ref="C19">_xlfn.XLOOKUP(1,(RatingOrder[Future Threshold Lower]&lt;EaRSummary[[#This Row],[Average Risk Score - Future]])*(RatingOrder[Future Threshold Upper]&gt;=EaRSummary[[#This Row],[Average Risk Score - Future]]),RatingOrder[Rating Order],"",0)</f>
        <v/>
      </c>
      <c r="D19" s="175" t="str" cm="1">
        <f t="array" ref="D19">_xlfn.XLOOKUP(1,(RatingOrder[2050 Threshold Lower]&lt;EaRSummary[[#This Row],[Average Risk Score - 2050]])*(RatingOrder[2050 Threshold Upper]&gt;=EaRSummary[[#This Row],[Average Risk Score - 2050]]),RatingOrder[Rating Order],"",0)</f>
        <v/>
      </c>
      <c r="E19" s="175" t="str" cm="1">
        <f t="array" ref="E19">_xlfn.XLOOKUP(1,(RatingOrder[2100 Threshold Lower]&lt;EaRSummary[[#This Row],[Average Risk Score - 2100]])*(RatingOrder[2100 Threshold Upper]&gt;=EaRSummary[[#This Row],[Average Risk Score - 2100]]),RatingOrder[Rating Order],"",0)</f>
        <v/>
      </c>
      <c r="F19" s="175" t="e">
        <f>AVERAGEIFS(RiskStatements[Risk Score - Present],RiskStatements[Elements at Risk],EaRSummary[[#This Row],[Elements at Risk]],RiskStatements[Include],1)</f>
        <v>#DIV/0!</v>
      </c>
      <c r="G19"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19" s="175" t="e">
        <f>AVERAGEIFS(RiskStatements[Risk Score - 2050],RiskStatements[Elements at Risk],EaRSummary[[#This Row],[Elements at Risk]],RiskStatements[Include],1)</f>
        <v>#DIV/0!</v>
      </c>
      <c r="I19" s="175" t="e">
        <f>AVERAGEIFS(RiskStatements[Risk Score - 2100],RiskStatements[Elements at Risk],EaRSummary[[#This Row],[Elements at Risk]],RiskStatements[Include],1)</f>
        <v>#DIV/0!</v>
      </c>
      <c r="J19" s="175">
        <f>IF(COUNTIFS(RiskStatements[Elements at Risk],EaRSummary[[#This Row],[Elements at Risk]],RiskStatements[Include],1)&gt;0,1,0)</f>
        <v>0</v>
      </c>
    </row>
    <row r="20" spans="1:10" x14ac:dyDescent="0.35">
      <c r="A20" s="175" t="s">
        <v>443</v>
      </c>
      <c r="B20" s="175" t="str" cm="1">
        <f t="array" ref="B20">_xlfn.XLOOKUP(1,(RatingOrder[Present Threshold Lower]&lt;EaRSummary[[#This Row],[Average Risk Score - Present]])*(RatingOrder[Present Threshold Upper]&gt;=EaRSummary[[#This Row],[Average Risk Score - Present]]),RatingOrder[Rating Order],"",0)</f>
        <v/>
      </c>
      <c r="C20" s="175" t="str" cm="1">
        <f t="array" ref="C20">_xlfn.XLOOKUP(1,(RatingOrder[Future Threshold Lower]&lt;EaRSummary[[#This Row],[Average Risk Score - Future]])*(RatingOrder[Future Threshold Upper]&gt;=EaRSummary[[#This Row],[Average Risk Score - Future]]),RatingOrder[Rating Order],"",0)</f>
        <v/>
      </c>
      <c r="D20" s="175" t="str" cm="1">
        <f t="array" ref="D20">_xlfn.XLOOKUP(1,(RatingOrder[2050 Threshold Lower]&lt;EaRSummary[[#This Row],[Average Risk Score - 2050]])*(RatingOrder[2050 Threshold Upper]&gt;=EaRSummary[[#This Row],[Average Risk Score - 2050]]),RatingOrder[Rating Order],"",0)</f>
        <v/>
      </c>
      <c r="E20" s="175" t="str" cm="1">
        <f t="array" ref="E20">_xlfn.XLOOKUP(1,(RatingOrder[2100 Threshold Lower]&lt;EaRSummary[[#This Row],[Average Risk Score - 2100]])*(RatingOrder[2100 Threshold Upper]&gt;=EaRSummary[[#This Row],[Average Risk Score - 2100]]),RatingOrder[Rating Order],"",0)</f>
        <v/>
      </c>
      <c r="F20" s="175" t="e">
        <f>AVERAGEIFS(RiskStatements[Risk Score - Present],RiskStatements[Elements at Risk],EaRSummary[[#This Row],[Elements at Risk]],RiskStatements[Include],1)</f>
        <v>#DIV/0!</v>
      </c>
      <c r="G20"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20" s="175" t="e">
        <f>AVERAGEIFS(RiskStatements[Risk Score - 2050],RiskStatements[Elements at Risk],EaRSummary[[#This Row],[Elements at Risk]],RiskStatements[Include],1)</f>
        <v>#DIV/0!</v>
      </c>
      <c r="I20" s="175" t="e">
        <f>AVERAGEIFS(RiskStatements[Risk Score - 2100],RiskStatements[Elements at Risk],EaRSummary[[#This Row],[Elements at Risk]],RiskStatements[Include],1)</f>
        <v>#DIV/0!</v>
      </c>
      <c r="J20" s="175">
        <f>IF(COUNTIFS(RiskStatements[Elements at Risk],EaRSummary[[#This Row],[Elements at Risk]],RiskStatements[Include],1)&gt;0,1,0)</f>
        <v>0</v>
      </c>
    </row>
    <row r="21" spans="1:10" x14ac:dyDescent="0.35">
      <c r="A21" s="175" t="s">
        <v>222</v>
      </c>
      <c r="B21" s="175" t="str" cm="1">
        <f t="array" ref="B21">_xlfn.XLOOKUP(1,(RatingOrder[Present Threshold Lower]&lt;EaRSummary[[#This Row],[Average Risk Score - Present]])*(RatingOrder[Present Threshold Upper]&gt;=EaRSummary[[#This Row],[Average Risk Score - Present]]),RatingOrder[Rating Order],"",0)</f>
        <v/>
      </c>
      <c r="C21" s="175" t="str" cm="1">
        <f t="array" ref="C21">_xlfn.XLOOKUP(1,(RatingOrder[Future Threshold Lower]&lt;EaRSummary[[#This Row],[Average Risk Score - Future]])*(RatingOrder[Future Threshold Upper]&gt;=EaRSummary[[#This Row],[Average Risk Score - Future]]),RatingOrder[Rating Order],"",0)</f>
        <v/>
      </c>
      <c r="D21" s="175" t="str" cm="1">
        <f t="array" ref="D21">_xlfn.XLOOKUP(1,(RatingOrder[2050 Threshold Lower]&lt;EaRSummary[[#This Row],[Average Risk Score - 2050]])*(RatingOrder[2050 Threshold Upper]&gt;=EaRSummary[[#This Row],[Average Risk Score - 2050]]),RatingOrder[Rating Order],"",0)</f>
        <v/>
      </c>
      <c r="E21" s="175" t="str" cm="1">
        <f t="array" ref="E21">_xlfn.XLOOKUP(1,(RatingOrder[2100 Threshold Lower]&lt;EaRSummary[[#This Row],[Average Risk Score - 2100]])*(RatingOrder[2100 Threshold Upper]&gt;=EaRSummary[[#This Row],[Average Risk Score - 2100]]),RatingOrder[Rating Order],"",0)</f>
        <v/>
      </c>
      <c r="F21" s="175" t="e">
        <f>AVERAGEIFS(RiskStatements[Risk Score - Present],RiskStatements[Elements at Risk],EaRSummary[[#This Row],[Elements at Risk]],RiskStatements[Include],1)</f>
        <v>#DIV/0!</v>
      </c>
      <c r="G21"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21" s="175" t="e">
        <f>AVERAGEIFS(RiskStatements[Risk Score - 2050],RiskStatements[Elements at Risk],EaRSummary[[#This Row],[Elements at Risk]],RiskStatements[Include],1)</f>
        <v>#DIV/0!</v>
      </c>
      <c r="I21" s="175" t="e">
        <f>AVERAGEIFS(RiskStatements[Risk Score - 2100],RiskStatements[Elements at Risk],EaRSummary[[#This Row],[Elements at Risk]],RiskStatements[Include],1)</f>
        <v>#DIV/0!</v>
      </c>
      <c r="J21" s="175">
        <f>IF(COUNTIFS(RiskStatements[Elements at Risk],EaRSummary[[#This Row],[Elements at Risk]],RiskStatements[Include],1)&gt;0,1,0)</f>
        <v>0</v>
      </c>
    </row>
    <row r="22" spans="1:10" x14ac:dyDescent="0.35">
      <c r="A22" s="175" t="s">
        <v>221</v>
      </c>
      <c r="B22" s="175" t="str" cm="1">
        <f t="array" ref="B22">_xlfn.XLOOKUP(1,(RatingOrder[Present Threshold Lower]&lt;EaRSummary[[#This Row],[Average Risk Score - Present]])*(RatingOrder[Present Threshold Upper]&gt;=EaRSummary[[#This Row],[Average Risk Score - Present]]),RatingOrder[Rating Order],"",0)</f>
        <v/>
      </c>
      <c r="C22" s="175" t="str" cm="1">
        <f t="array" ref="C22">_xlfn.XLOOKUP(1,(RatingOrder[Future Threshold Lower]&lt;EaRSummary[[#This Row],[Average Risk Score - Future]])*(RatingOrder[Future Threshold Upper]&gt;=EaRSummary[[#This Row],[Average Risk Score - Future]]),RatingOrder[Rating Order],"",0)</f>
        <v/>
      </c>
      <c r="D22" s="175" t="str" cm="1">
        <f t="array" ref="D22">_xlfn.XLOOKUP(1,(RatingOrder[2050 Threshold Lower]&lt;EaRSummary[[#This Row],[Average Risk Score - 2050]])*(RatingOrder[2050 Threshold Upper]&gt;=EaRSummary[[#This Row],[Average Risk Score - 2050]]),RatingOrder[Rating Order],"",0)</f>
        <v/>
      </c>
      <c r="E22" s="175" t="str" cm="1">
        <f t="array" ref="E22">_xlfn.XLOOKUP(1,(RatingOrder[2100 Threshold Lower]&lt;EaRSummary[[#This Row],[Average Risk Score - 2100]])*(RatingOrder[2100 Threshold Upper]&gt;=EaRSummary[[#This Row],[Average Risk Score - 2100]]),RatingOrder[Rating Order],"",0)</f>
        <v/>
      </c>
      <c r="F22" s="175" t="e">
        <f>AVERAGEIFS(RiskStatements[Risk Score - Present],RiskStatements[Elements at Risk],EaRSummary[[#This Row],[Elements at Risk]],RiskStatements[Include],1)</f>
        <v>#DIV/0!</v>
      </c>
      <c r="G22"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22" s="175" t="e">
        <f>AVERAGEIFS(RiskStatements[Risk Score - 2050],RiskStatements[Elements at Risk],EaRSummary[[#This Row],[Elements at Risk]],RiskStatements[Include],1)</f>
        <v>#DIV/0!</v>
      </c>
      <c r="I22" s="175" t="e">
        <f>AVERAGEIFS(RiskStatements[Risk Score - 2100],RiskStatements[Elements at Risk],EaRSummary[[#This Row],[Elements at Risk]],RiskStatements[Include],1)</f>
        <v>#DIV/0!</v>
      </c>
      <c r="J22" s="175">
        <f>IF(COUNTIFS(RiskStatements[Elements at Risk],EaRSummary[[#This Row],[Elements at Risk]],RiskStatements[Include],1)&gt;0,1,0)</f>
        <v>0</v>
      </c>
    </row>
    <row r="23" spans="1:10" x14ac:dyDescent="0.35">
      <c r="A23" s="175" t="s">
        <v>219</v>
      </c>
      <c r="B23" s="175" t="str" cm="1">
        <f t="array" ref="B23">_xlfn.XLOOKUP(1,(RatingOrder[Present Threshold Lower]&lt;EaRSummary[[#This Row],[Average Risk Score - Present]])*(RatingOrder[Present Threshold Upper]&gt;=EaRSummary[[#This Row],[Average Risk Score - Present]]),RatingOrder[Rating Order],"",0)</f>
        <v/>
      </c>
      <c r="C23" s="175" t="str" cm="1">
        <f t="array" ref="C23">_xlfn.XLOOKUP(1,(RatingOrder[Future Threshold Lower]&lt;EaRSummary[[#This Row],[Average Risk Score - Future]])*(RatingOrder[Future Threshold Upper]&gt;=EaRSummary[[#This Row],[Average Risk Score - Future]]),RatingOrder[Rating Order],"",0)</f>
        <v/>
      </c>
      <c r="D23" s="175" t="str" cm="1">
        <f t="array" ref="D23">_xlfn.XLOOKUP(1,(RatingOrder[2050 Threshold Lower]&lt;EaRSummary[[#This Row],[Average Risk Score - 2050]])*(RatingOrder[2050 Threshold Upper]&gt;=EaRSummary[[#This Row],[Average Risk Score - 2050]]),RatingOrder[Rating Order],"",0)</f>
        <v/>
      </c>
      <c r="E23" s="175" t="str" cm="1">
        <f t="array" ref="E23">_xlfn.XLOOKUP(1,(RatingOrder[2100 Threshold Lower]&lt;EaRSummary[[#This Row],[Average Risk Score - 2100]])*(RatingOrder[2100 Threshold Upper]&gt;=EaRSummary[[#This Row],[Average Risk Score - 2100]]),RatingOrder[Rating Order],"",0)</f>
        <v/>
      </c>
      <c r="F23" s="175" t="e">
        <f>AVERAGEIFS(RiskStatements[Risk Score - Present],RiskStatements[Elements at Risk],EaRSummary[[#This Row],[Elements at Risk]],RiskStatements[Include],1)</f>
        <v>#DIV/0!</v>
      </c>
      <c r="G23"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23" s="175" t="e">
        <f>AVERAGEIFS(RiskStatements[Risk Score - 2050],RiskStatements[Elements at Risk],EaRSummary[[#This Row],[Elements at Risk]],RiskStatements[Include],1)</f>
        <v>#DIV/0!</v>
      </c>
      <c r="I23" s="175" t="e">
        <f>AVERAGEIFS(RiskStatements[Risk Score - 2100],RiskStatements[Elements at Risk],EaRSummary[[#This Row],[Elements at Risk]],RiskStatements[Include],1)</f>
        <v>#DIV/0!</v>
      </c>
      <c r="J23" s="175">
        <f>IF(COUNTIFS(RiskStatements[Elements at Risk],EaRSummary[[#This Row],[Elements at Risk]],RiskStatements[Include],1)&gt;0,1,0)</f>
        <v>0</v>
      </c>
    </row>
    <row r="24" spans="1:10" x14ac:dyDescent="0.35">
      <c r="A24" s="175" t="s">
        <v>217</v>
      </c>
      <c r="B24" s="175" t="str" cm="1">
        <f t="array" ref="B24">_xlfn.XLOOKUP(1,(RatingOrder[Present Threshold Lower]&lt;EaRSummary[[#This Row],[Average Risk Score - Present]])*(RatingOrder[Present Threshold Upper]&gt;=EaRSummary[[#This Row],[Average Risk Score - Present]]),RatingOrder[Rating Order],"",0)</f>
        <v/>
      </c>
      <c r="C24" s="175" t="str" cm="1">
        <f t="array" ref="C24">_xlfn.XLOOKUP(1,(RatingOrder[Future Threshold Lower]&lt;EaRSummary[[#This Row],[Average Risk Score - Future]])*(RatingOrder[Future Threshold Upper]&gt;=EaRSummary[[#This Row],[Average Risk Score - Future]]),RatingOrder[Rating Order],"",0)</f>
        <v/>
      </c>
      <c r="D24" s="175" t="str" cm="1">
        <f t="array" ref="D24">_xlfn.XLOOKUP(1,(RatingOrder[2050 Threshold Lower]&lt;EaRSummary[[#This Row],[Average Risk Score - 2050]])*(RatingOrder[2050 Threshold Upper]&gt;=EaRSummary[[#This Row],[Average Risk Score - 2050]]),RatingOrder[Rating Order],"",0)</f>
        <v/>
      </c>
      <c r="E24" s="175" t="str" cm="1">
        <f t="array" ref="E24">_xlfn.XLOOKUP(1,(RatingOrder[2100 Threshold Lower]&lt;EaRSummary[[#This Row],[Average Risk Score - 2100]])*(RatingOrder[2100 Threshold Upper]&gt;=EaRSummary[[#This Row],[Average Risk Score - 2100]]),RatingOrder[Rating Order],"",0)</f>
        <v/>
      </c>
      <c r="F24" s="175" t="e">
        <f>AVERAGEIFS(RiskStatements[Risk Score - Present],RiskStatements[Elements at Risk],EaRSummary[[#This Row],[Elements at Risk]],RiskStatements[Include],1)</f>
        <v>#DIV/0!</v>
      </c>
      <c r="G24" s="175" t="e">
        <f>(SUMIFS(RiskStatements[Risk Score - 2050],RiskStatements[Elements at Risk],EaRSummary[[#This Row],[Elements at Risk]],RiskStatements[Include],1)+SUMIFS(RiskStatements[Risk Score - 2100],RiskStatements[Elements at Risk],EaRSummary[[#This Row],[Elements at Risk]],RiskStatements[Include],1))/(COUNTIFS(RiskStatements[Elements at Risk],EaRSummary[[#This Row],[Elements at Risk]],RiskStatements[Include],1)*2)</f>
        <v>#DIV/0!</v>
      </c>
      <c r="H24" s="175" t="e">
        <f>AVERAGEIFS(RiskStatements[Risk Score - 2050],RiskStatements[Elements at Risk],EaRSummary[[#This Row],[Elements at Risk]],RiskStatements[Include],1)</f>
        <v>#DIV/0!</v>
      </c>
      <c r="I24" s="175" t="e">
        <f>AVERAGEIFS(RiskStatements[Risk Score - 2100],RiskStatements[Elements at Risk],EaRSummary[[#This Row],[Elements at Risk]],RiskStatements[Include],1)</f>
        <v>#DIV/0!</v>
      </c>
      <c r="J24" s="175">
        <f>IF(COUNTIFS(RiskStatements[Elements at Risk],EaRSummary[[#This Row],[Elements at Risk]],RiskStatements[Include],1)&gt;0,1,0)</f>
        <v>0</v>
      </c>
    </row>
    <row r="27" spans="1:10" x14ac:dyDescent="0.35">
      <c r="A27" s="175" t="s">
        <v>124</v>
      </c>
      <c r="B27" s="175" t="s">
        <v>426</v>
      </c>
      <c r="C27" s="175" t="s">
        <v>429</v>
      </c>
      <c r="D27" s="175" t="s">
        <v>427</v>
      </c>
      <c r="E27" s="175" t="s">
        <v>428</v>
      </c>
      <c r="F27" s="175" t="s">
        <v>430</v>
      </c>
      <c r="G27" s="175" t="s">
        <v>431</v>
      </c>
      <c r="H27" s="175" t="s">
        <v>432</v>
      </c>
      <c r="I27" s="175" t="s">
        <v>433</v>
      </c>
      <c r="J27" s="175" t="s">
        <v>132</v>
      </c>
    </row>
    <row r="28" spans="1:10" x14ac:dyDescent="0.35">
      <c r="A28" s="175" t="s">
        <v>133</v>
      </c>
      <c r="B28" s="175" t="str" cm="1">
        <f t="array" ref="B28">_xlfn.XLOOKUP(1,(RatingOrder[Present Threshold Lower]&lt;CVSummary[[#This Row],[Average Risk Score - Present]])*(RatingOrder[Present Threshold Upper]&gt;=CVSummary[[#This Row],[Average Risk Score - Present]]),RatingOrder[Rating Order],"",0)</f>
        <v/>
      </c>
      <c r="C28" s="175" t="str" cm="1">
        <f t="array" ref="C28">_xlfn.XLOOKUP(1,(RatingOrder[Future Threshold Lower]&lt;CVSummary[[#This Row],[Average Risk Score - Future]])*(RatingOrder[Future Threshold Upper]&gt;=CVSummary[[#This Row],[Average Risk Score - Future]]),RatingOrder[Rating Order],"",0)</f>
        <v/>
      </c>
      <c r="D28" s="175" t="str" cm="1">
        <f t="array" ref="D28">_xlfn.XLOOKUP(1,(RatingOrder[2050 Threshold Lower]&lt;CVSummary[[#This Row],[Average Risk Score - 2050]])*(RatingOrder[2050 Threshold Upper]&gt;=CVSummary[[#This Row],[Average Risk Score - 2050]]),RatingOrder[Rating Order],"",0)</f>
        <v/>
      </c>
      <c r="E28" s="175" t="str" cm="1">
        <f t="array" ref="E28">_xlfn.XLOOKUP(1,(RatingOrder[2100 Threshold Lower]&lt;CVSummary[[#This Row],[Average Risk Score - 2100]])*(RatingOrder[2100 Threshold Upper]&gt;=CVSummary[[#This Row],[Average Risk Score - 2100]]),RatingOrder[Rating Order],"",0)</f>
        <v/>
      </c>
      <c r="F28" s="175" t="e">
        <f>AVERAGEIFS(RiskStatements[Risk Score - Present],RiskStatements[Climate Variables/Explainers],CVSummary[[#This Row],[Climate Variables/Explainers]],RiskStatements[Include],1)</f>
        <v>#DIV/0!</v>
      </c>
      <c r="G28" s="175" t="e">
        <f>(SUMIFS(RiskStatements[Risk Score - 2050],RiskStatements[Climate Variables/Explainers],CVSummary[[#This Row],[Climate Variables/Explainers]],RiskStatements[Include],1)+SUMIFS(RiskStatements[Risk Score - 2100],RiskStatements[Climate Variables/Explainers],CVSummary[[#This Row],[Climate Variables/Explainers]],RiskStatements[Include],1))/(COUNTIFS(RiskStatements[Climate Variables/Explainers],CVSummary[[#This Row],[Climate Variables/Explainers]],RiskStatements[Include],1)*2)</f>
        <v>#DIV/0!</v>
      </c>
      <c r="H28" s="175" t="e">
        <f>AVERAGEIFS(RiskStatements[Risk Score - 2050],RiskStatements[Climate Variables/Explainers],CVSummary[[#This Row],[Climate Variables/Explainers]],RiskStatements[Include],1)</f>
        <v>#DIV/0!</v>
      </c>
      <c r="I28" s="175" t="e">
        <f>AVERAGEIFS(RiskStatements[Risk Score - 2100],RiskStatements[Climate Variables/Explainers],CVSummary[[#This Row],[Climate Variables/Explainers]],RiskStatements[Include],1)</f>
        <v>#DIV/0!</v>
      </c>
      <c r="J28" s="175">
        <f>IF(COUNTIFS(RiskStatements[Climate Variables/Explainers],CVSummary[[#This Row],[Climate Variables/Explainers]],RiskStatements[Include],1)&gt;0,1,0)</f>
        <v>0</v>
      </c>
    </row>
    <row r="29" spans="1:10" x14ac:dyDescent="0.35">
      <c r="A29" s="175" t="s">
        <v>136</v>
      </c>
      <c r="B29" s="175" t="str" cm="1">
        <f t="array" ref="B29">_xlfn.XLOOKUP(1,(RatingOrder[Present Threshold Lower]&lt;CVSummary[[#This Row],[Average Risk Score - Present]])*(RatingOrder[Present Threshold Upper]&gt;=CVSummary[[#This Row],[Average Risk Score - Present]]),RatingOrder[Rating Order],"",0)</f>
        <v/>
      </c>
      <c r="C29" s="175" t="str" cm="1">
        <f t="array" ref="C29">_xlfn.XLOOKUP(1,(RatingOrder[Future Threshold Lower]&lt;CVSummary[[#This Row],[Average Risk Score - Future]])*(RatingOrder[Future Threshold Upper]&gt;=CVSummary[[#This Row],[Average Risk Score - Future]]),RatingOrder[Rating Order],"",0)</f>
        <v/>
      </c>
      <c r="D29" s="175" t="str" cm="1">
        <f t="array" ref="D29">_xlfn.XLOOKUP(1,(RatingOrder[2050 Threshold Lower]&lt;CVSummary[[#This Row],[Average Risk Score - 2050]])*(RatingOrder[2050 Threshold Upper]&gt;=CVSummary[[#This Row],[Average Risk Score - 2050]]),RatingOrder[Rating Order],"",0)</f>
        <v/>
      </c>
      <c r="E29" s="175" t="str" cm="1">
        <f t="array" ref="E29">_xlfn.XLOOKUP(1,(RatingOrder[2100 Threshold Lower]&lt;CVSummary[[#This Row],[Average Risk Score - 2100]])*(RatingOrder[2100 Threshold Upper]&gt;=CVSummary[[#This Row],[Average Risk Score - 2100]]),RatingOrder[Rating Order],"",0)</f>
        <v/>
      </c>
      <c r="F29" s="175" t="e">
        <f>AVERAGEIFS(RiskStatements[Risk Score - Present],RiskStatements[Climate Variables/Explainers],CVSummary[[#This Row],[Climate Variables/Explainers]],RiskStatements[Include],1)</f>
        <v>#DIV/0!</v>
      </c>
      <c r="G29" s="175" t="e">
        <f>(SUMIFS(RiskStatements[Risk Score - 2050],RiskStatements[Climate Variables/Explainers],CVSummary[[#This Row],[Climate Variables/Explainers]],RiskStatements[Include],1)+SUMIFS(RiskStatements[Risk Score - 2100],RiskStatements[Climate Variables/Explainers],CVSummary[[#This Row],[Climate Variables/Explainers]],RiskStatements[Include],1))/(COUNTIFS(RiskStatements[Climate Variables/Explainers],CVSummary[[#This Row],[Climate Variables/Explainers]],RiskStatements[Include],1)*2)</f>
        <v>#DIV/0!</v>
      </c>
      <c r="H29" s="175" t="e">
        <f>AVERAGEIFS(RiskStatements[Risk Score - 2050],RiskStatements[Climate Variables/Explainers],CVSummary[[#This Row],[Climate Variables/Explainers]],RiskStatements[Include],1)</f>
        <v>#DIV/0!</v>
      </c>
      <c r="I29" s="175" t="e">
        <f>AVERAGEIFS(RiskStatements[Risk Score - 2100],RiskStatements[Climate Variables/Explainers],CVSummary[[#This Row],[Climate Variables/Explainers]],RiskStatements[Include],1)</f>
        <v>#DIV/0!</v>
      </c>
      <c r="J29" s="175">
        <f>IF(COUNTIFS(RiskStatements[Climate Variables/Explainers],CVSummary[[#This Row],[Climate Variables/Explainers]],RiskStatements[Include],1)&gt;0,1,0)</f>
        <v>0</v>
      </c>
    </row>
    <row r="30" spans="1:10" x14ac:dyDescent="0.35">
      <c r="A30" s="175" t="s">
        <v>134</v>
      </c>
      <c r="B30" s="175" t="str" cm="1">
        <f t="array" ref="B30">_xlfn.XLOOKUP(1,(RatingOrder[Present Threshold Lower]&lt;CVSummary[[#This Row],[Average Risk Score - Present]])*(RatingOrder[Present Threshold Upper]&gt;=CVSummary[[#This Row],[Average Risk Score - Present]]),RatingOrder[Rating Order],"",0)</f>
        <v/>
      </c>
      <c r="C30" s="175" t="str" cm="1">
        <f t="array" ref="C30">_xlfn.XLOOKUP(1,(RatingOrder[Future Threshold Lower]&lt;CVSummary[[#This Row],[Average Risk Score - Future]])*(RatingOrder[Future Threshold Upper]&gt;=CVSummary[[#This Row],[Average Risk Score - Future]]),RatingOrder[Rating Order],"",0)</f>
        <v/>
      </c>
      <c r="D30" s="175" t="str" cm="1">
        <f t="array" ref="D30">_xlfn.XLOOKUP(1,(RatingOrder[2050 Threshold Lower]&lt;CVSummary[[#This Row],[Average Risk Score - 2050]])*(RatingOrder[2050 Threshold Upper]&gt;=CVSummary[[#This Row],[Average Risk Score - 2050]]),RatingOrder[Rating Order],"",0)</f>
        <v/>
      </c>
      <c r="E30" s="175" t="str" cm="1">
        <f t="array" ref="E30">_xlfn.XLOOKUP(1,(RatingOrder[2100 Threshold Lower]&lt;CVSummary[[#This Row],[Average Risk Score - 2100]])*(RatingOrder[2100 Threshold Upper]&gt;=CVSummary[[#This Row],[Average Risk Score - 2100]]),RatingOrder[Rating Order],"",0)</f>
        <v/>
      </c>
      <c r="F30" s="175" t="e">
        <f>AVERAGEIFS(RiskStatements[Risk Score - Present],RiskStatements[Climate Variables/Explainers],CVSummary[[#This Row],[Climate Variables/Explainers]],RiskStatements[Include],1)</f>
        <v>#DIV/0!</v>
      </c>
      <c r="G30" s="175" t="e">
        <f>(SUMIFS(RiskStatements[Risk Score - 2050],RiskStatements[Climate Variables/Explainers],CVSummary[[#This Row],[Climate Variables/Explainers]],RiskStatements[Include],1)+SUMIFS(RiskStatements[Risk Score - 2100],RiskStatements[Climate Variables/Explainers],CVSummary[[#This Row],[Climate Variables/Explainers]],RiskStatements[Include],1))/(COUNTIFS(RiskStatements[Climate Variables/Explainers],CVSummary[[#This Row],[Climate Variables/Explainers]],RiskStatements[Include],1)*2)</f>
        <v>#DIV/0!</v>
      </c>
      <c r="H30" s="175" t="e">
        <f>AVERAGEIFS(RiskStatements[Risk Score - 2050],RiskStatements[Climate Variables/Explainers],CVSummary[[#This Row],[Climate Variables/Explainers]],RiskStatements[Include],1)</f>
        <v>#DIV/0!</v>
      </c>
      <c r="I30" s="175" t="e">
        <f>AVERAGEIFS(RiskStatements[Risk Score - 2100],RiskStatements[Climate Variables/Explainers],CVSummary[[#This Row],[Climate Variables/Explainers]],RiskStatements[Include],1)</f>
        <v>#DIV/0!</v>
      </c>
      <c r="J30" s="175">
        <f>IF(COUNTIFS(RiskStatements[Climate Variables/Explainers],CVSummary[[#This Row],[Climate Variables/Explainers]],RiskStatements[Include],1)&gt;0,1,0)</f>
        <v>0</v>
      </c>
    </row>
    <row r="31" spans="1:10" x14ac:dyDescent="0.35">
      <c r="A31" s="175" t="s">
        <v>424</v>
      </c>
      <c r="B31" s="175" t="str" cm="1">
        <f t="array" ref="B31">_xlfn.XLOOKUP(1,(RatingOrder[Present Threshold Lower]&lt;CVSummary[[#This Row],[Average Risk Score - Present]])*(RatingOrder[Present Threshold Upper]&gt;=CVSummary[[#This Row],[Average Risk Score - Present]]),RatingOrder[Rating Order],"",0)</f>
        <v/>
      </c>
      <c r="C31" s="175" t="str" cm="1">
        <f t="array" ref="C31">_xlfn.XLOOKUP(1,(RatingOrder[Future Threshold Lower]&lt;CVSummary[[#This Row],[Average Risk Score - Future]])*(RatingOrder[Future Threshold Upper]&gt;=CVSummary[[#This Row],[Average Risk Score - Future]]),RatingOrder[Rating Order],"",0)</f>
        <v/>
      </c>
      <c r="D31" s="175" t="str" cm="1">
        <f t="array" ref="D31">_xlfn.XLOOKUP(1,(RatingOrder[2050 Threshold Lower]&lt;CVSummary[[#This Row],[Average Risk Score - 2050]])*(RatingOrder[2050 Threshold Upper]&gt;=CVSummary[[#This Row],[Average Risk Score - 2050]]),RatingOrder[Rating Order],"",0)</f>
        <v/>
      </c>
      <c r="E31" s="175" t="str" cm="1">
        <f t="array" ref="E31">_xlfn.XLOOKUP(1,(RatingOrder[2100 Threshold Lower]&lt;CVSummary[[#This Row],[Average Risk Score - 2100]])*(RatingOrder[2100 Threshold Upper]&gt;=CVSummary[[#This Row],[Average Risk Score - 2100]]),RatingOrder[Rating Order],"",0)</f>
        <v/>
      </c>
      <c r="F31" s="175" t="e">
        <f>AVERAGEIFS(RiskStatements[Risk Score - Present],RiskStatements[Climate Variables/Explainers],CVSummary[[#This Row],[Climate Variables/Explainers]],RiskStatements[Include],1)</f>
        <v>#DIV/0!</v>
      </c>
      <c r="G31" s="175" t="e">
        <f>(SUMIFS(RiskStatements[Risk Score - 2050],RiskStatements[Climate Variables/Explainers],CVSummary[[#This Row],[Climate Variables/Explainers]],RiskStatements[Include],1)+SUMIFS(RiskStatements[Risk Score - 2100],RiskStatements[Climate Variables/Explainers],CVSummary[[#This Row],[Climate Variables/Explainers]],RiskStatements[Include],1))/(COUNTIFS(RiskStatements[Climate Variables/Explainers],CVSummary[[#This Row],[Climate Variables/Explainers]],RiskStatements[Include],1)*2)</f>
        <v>#DIV/0!</v>
      </c>
      <c r="H31" s="175" t="e">
        <f>AVERAGEIFS(RiskStatements[Risk Score - 2050],RiskStatements[Climate Variables/Explainers],CVSummary[[#This Row],[Climate Variables/Explainers]],RiskStatements[Include],1)</f>
        <v>#DIV/0!</v>
      </c>
      <c r="I31" s="175" t="e">
        <f>AVERAGEIFS(RiskStatements[Risk Score - 2100],RiskStatements[Climate Variables/Explainers],CVSummary[[#This Row],[Climate Variables/Explainers]],RiskStatements[Include],1)</f>
        <v>#DIV/0!</v>
      </c>
      <c r="J31" s="175">
        <f>IF(COUNTIFS(RiskStatements[Climate Variables/Explainers],CVSummary[[#This Row],[Climate Variables/Explainers]],RiskStatements[Include],1)&gt;0,1,0)</f>
        <v>0</v>
      </c>
    </row>
    <row r="32" spans="1:10" x14ac:dyDescent="0.35">
      <c r="A32" s="175" t="s">
        <v>457</v>
      </c>
      <c r="B32" s="175" t="str" cm="1">
        <f t="array" ref="B32">_xlfn.XLOOKUP(1,(RatingOrder[Present Threshold Lower]&lt;CVSummary[[#This Row],[Average Risk Score - Present]])*(RatingOrder[Present Threshold Upper]&gt;=CVSummary[[#This Row],[Average Risk Score - Present]]),RatingOrder[Rating Order],"",0)</f>
        <v/>
      </c>
      <c r="C32" s="175" t="str" cm="1">
        <f t="array" ref="C32">_xlfn.XLOOKUP(1,(RatingOrder[Future Threshold Lower]&lt;CVSummary[[#This Row],[Average Risk Score - Future]])*(RatingOrder[Future Threshold Upper]&gt;=CVSummary[[#This Row],[Average Risk Score - Future]]),RatingOrder[Rating Order],"",0)</f>
        <v/>
      </c>
      <c r="D32" s="175" t="str" cm="1">
        <f t="array" ref="D32">_xlfn.XLOOKUP(1,(RatingOrder[2050 Threshold Lower]&lt;CVSummary[[#This Row],[Average Risk Score - 2050]])*(RatingOrder[2050 Threshold Upper]&gt;=CVSummary[[#This Row],[Average Risk Score - 2050]]),RatingOrder[Rating Order],"",0)</f>
        <v/>
      </c>
      <c r="E32" s="175" t="str" cm="1">
        <f t="array" ref="E32">_xlfn.XLOOKUP(1,(RatingOrder[2100 Threshold Lower]&lt;CVSummary[[#This Row],[Average Risk Score - 2100]])*(RatingOrder[2100 Threshold Upper]&gt;=CVSummary[[#This Row],[Average Risk Score - 2100]]),RatingOrder[Rating Order],"",0)</f>
        <v/>
      </c>
      <c r="F32" s="175" t="e">
        <f>AVERAGEIFS(RiskStatements[Risk Score - Present],RiskStatements[Climate Variables/Explainers],CVSummary[[#This Row],[Climate Variables/Explainers]],RiskStatements[Include],1)</f>
        <v>#DIV/0!</v>
      </c>
      <c r="G32" s="175" t="e">
        <f>(SUMIFS(RiskStatements[Risk Score - 2050],RiskStatements[Climate Variables/Explainers],CVSummary[[#This Row],[Climate Variables/Explainers]],RiskStatements[Include],1)+SUMIFS(RiskStatements[Risk Score - 2100],RiskStatements[Climate Variables/Explainers],CVSummary[[#This Row],[Climate Variables/Explainers]],RiskStatements[Include],1))/(COUNTIFS(RiskStatements[Climate Variables/Explainers],CVSummary[[#This Row],[Climate Variables/Explainers]],RiskStatements[Include],1)*2)</f>
        <v>#DIV/0!</v>
      </c>
      <c r="H32" s="175" t="e">
        <f>AVERAGEIFS(RiskStatements[Risk Score - 2050],RiskStatements[Climate Variables/Explainers],CVSummary[[#This Row],[Climate Variables/Explainers]],RiskStatements[Include],1)</f>
        <v>#DIV/0!</v>
      </c>
      <c r="I32" s="175" t="e">
        <f>AVERAGEIFS(RiskStatements[Risk Score - 2100],RiskStatements[Climate Variables/Explainers],CVSummary[[#This Row],[Climate Variables/Explainers]],RiskStatements[Include],1)</f>
        <v>#DIV/0!</v>
      </c>
      <c r="J32" s="175">
        <f>IF(COUNTIFS(RiskStatements[Climate Variables/Explainers],CVSummary[[#This Row],[Climate Variables/Explainers]],RiskStatements[Include],1)&gt;0,1,0)</f>
        <v>0</v>
      </c>
    </row>
    <row r="33" spans="1:10" x14ac:dyDescent="0.35">
      <c r="A33" s="175" t="s">
        <v>137</v>
      </c>
      <c r="B33" s="175" t="str" cm="1">
        <f t="array" ref="B33">_xlfn.XLOOKUP(1,(RatingOrder[Present Threshold Lower]&lt;CVSummary[[#This Row],[Average Risk Score - Present]])*(RatingOrder[Present Threshold Upper]&gt;=CVSummary[[#This Row],[Average Risk Score - Present]]),RatingOrder[Rating Order],"",0)</f>
        <v/>
      </c>
      <c r="C33" s="175" t="str" cm="1">
        <f t="array" ref="C33">_xlfn.XLOOKUP(1,(RatingOrder[Future Threshold Lower]&lt;CVSummary[[#This Row],[Average Risk Score - Future]])*(RatingOrder[Future Threshold Upper]&gt;=CVSummary[[#This Row],[Average Risk Score - Future]]),RatingOrder[Rating Order],"",0)</f>
        <v/>
      </c>
      <c r="D33" s="175" t="str" cm="1">
        <f t="array" ref="D33">_xlfn.XLOOKUP(1,(RatingOrder[2050 Threshold Lower]&lt;CVSummary[[#This Row],[Average Risk Score - 2050]])*(RatingOrder[2050 Threshold Upper]&gt;=CVSummary[[#This Row],[Average Risk Score - 2050]]),RatingOrder[Rating Order],"",0)</f>
        <v/>
      </c>
      <c r="E33" s="175" t="str" cm="1">
        <f t="array" ref="E33">_xlfn.XLOOKUP(1,(RatingOrder[2100 Threshold Lower]&lt;CVSummary[[#This Row],[Average Risk Score - 2100]])*(RatingOrder[2100 Threshold Upper]&gt;=CVSummary[[#This Row],[Average Risk Score - 2100]]),RatingOrder[Rating Order],"",0)</f>
        <v/>
      </c>
      <c r="F33" s="175" t="e">
        <f>AVERAGEIFS(RiskStatements[Risk Score - Present],RiskStatements[Climate Variables/Explainers],CVSummary[[#This Row],[Climate Variables/Explainers]],RiskStatements[Include],1)</f>
        <v>#DIV/0!</v>
      </c>
      <c r="G33" s="175" t="e">
        <f>(SUMIFS(RiskStatements[Risk Score - 2050],RiskStatements[Climate Variables/Explainers],CVSummary[[#This Row],[Climate Variables/Explainers]],RiskStatements[Include],1)+SUMIFS(RiskStatements[Risk Score - 2100],RiskStatements[Climate Variables/Explainers],CVSummary[[#This Row],[Climate Variables/Explainers]],RiskStatements[Include],1))/(COUNTIFS(RiskStatements[Climate Variables/Explainers],CVSummary[[#This Row],[Climate Variables/Explainers]],RiskStatements[Include],1)*2)</f>
        <v>#DIV/0!</v>
      </c>
      <c r="H33" s="175" t="e">
        <f>AVERAGEIFS(RiskStatements[Risk Score - 2050],RiskStatements[Climate Variables/Explainers],CVSummary[[#This Row],[Climate Variables/Explainers]],RiskStatements[Include],1)</f>
        <v>#DIV/0!</v>
      </c>
      <c r="I33" s="175" t="e">
        <f>AVERAGEIFS(RiskStatements[Risk Score - 2100],RiskStatements[Climate Variables/Explainers],CVSummary[[#This Row],[Climate Variables/Explainers]],RiskStatements[Include],1)</f>
        <v>#DIV/0!</v>
      </c>
      <c r="J33" s="175">
        <f>IF(COUNTIFS(RiskStatements[Climate Variables/Explainers],CVSummary[[#This Row],[Climate Variables/Explainers]],RiskStatements[Include],1)&gt;0,1,0)</f>
        <v>0</v>
      </c>
    </row>
    <row r="34" spans="1:10" x14ac:dyDescent="0.35">
      <c r="A34" s="175" t="s">
        <v>135</v>
      </c>
      <c r="B34" s="175" t="str" cm="1">
        <f t="array" ref="B34">_xlfn.XLOOKUP(1,(RatingOrder[Present Threshold Lower]&lt;CVSummary[[#This Row],[Average Risk Score - Present]])*(RatingOrder[Present Threshold Upper]&gt;=CVSummary[[#This Row],[Average Risk Score - Present]]),RatingOrder[Rating Order],"",0)</f>
        <v/>
      </c>
      <c r="C34" s="175" t="str" cm="1">
        <f t="array" ref="C34">_xlfn.XLOOKUP(1,(RatingOrder[Future Threshold Lower]&lt;CVSummary[[#This Row],[Average Risk Score - Future]])*(RatingOrder[Future Threshold Upper]&gt;=CVSummary[[#This Row],[Average Risk Score - Future]]),RatingOrder[Rating Order],"",0)</f>
        <v/>
      </c>
      <c r="D34" s="175" t="str" cm="1">
        <f t="array" ref="D34">_xlfn.XLOOKUP(1,(RatingOrder[2050 Threshold Lower]&lt;CVSummary[[#This Row],[Average Risk Score - 2050]])*(RatingOrder[2050 Threshold Upper]&gt;=CVSummary[[#This Row],[Average Risk Score - 2050]]),RatingOrder[Rating Order],"",0)</f>
        <v/>
      </c>
      <c r="E34" s="175" t="str" cm="1">
        <f t="array" ref="E34">_xlfn.XLOOKUP(1,(RatingOrder[2100 Threshold Lower]&lt;CVSummary[[#This Row],[Average Risk Score - 2100]])*(RatingOrder[2100 Threshold Upper]&gt;=CVSummary[[#This Row],[Average Risk Score - 2100]]),RatingOrder[Rating Order],"",0)</f>
        <v/>
      </c>
      <c r="F34" s="175" t="e">
        <f>AVERAGEIFS(RiskStatements[Risk Score - Present],RiskStatements[Climate Variables/Explainers],CVSummary[[#This Row],[Climate Variables/Explainers]],RiskStatements[Include],1)</f>
        <v>#DIV/0!</v>
      </c>
      <c r="G34" s="175" t="e">
        <f>(SUMIFS(RiskStatements[Risk Score - 2050],RiskStatements[Climate Variables/Explainers],CVSummary[[#This Row],[Climate Variables/Explainers]],RiskStatements[Include],1)+SUMIFS(RiskStatements[Risk Score - 2100],RiskStatements[Climate Variables/Explainers],CVSummary[[#This Row],[Climate Variables/Explainers]],RiskStatements[Include],1))/(COUNTIFS(RiskStatements[Climate Variables/Explainers],CVSummary[[#This Row],[Climate Variables/Explainers]],RiskStatements[Include],1)*2)</f>
        <v>#DIV/0!</v>
      </c>
      <c r="H34" s="175" t="e">
        <f>AVERAGEIFS(RiskStatements[Risk Score - 2050],RiskStatements[Climate Variables/Explainers],CVSummary[[#This Row],[Climate Variables/Explainers]],RiskStatements[Include],1)</f>
        <v>#DIV/0!</v>
      </c>
      <c r="I34" s="175" t="e">
        <f>AVERAGEIFS(RiskStatements[Risk Score - 2100],RiskStatements[Climate Variables/Explainers],CVSummary[[#This Row],[Climate Variables/Explainers]],RiskStatements[Include],1)</f>
        <v>#DIV/0!</v>
      </c>
      <c r="J34" s="175">
        <f>IF(COUNTIFS(RiskStatements[Climate Variables/Explainers],CVSummary[[#This Row],[Climate Variables/Explainers]],RiskStatements[Include],1)&gt;0,1,0)</f>
        <v>0</v>
      </c>
    </row>
  </sheetData>
  <phoneticPr fontId="11" type="noConversion"/>
  <pageMargins left="0.7" right="0.7" top="0.75" bottom="0.75" header="0.3" footer="0.3"/>
  <pageSetup paperSize="256" orientation="portrait" horizontalDpi="1200" verticalDpi="1200"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9FDF0-2506-4235-8911-78B2EB4954A5}">
  <sheetPr codeName="Sheet13"/>
  <dimension ref="A1:S162"/>
  <sheetViews>
    <sheetView workbookViewId="0">
      <selection activeCell="D39" sqref="D39"/>
    </sheetView>
  </sheetViews>
  <sheetFormatPr defaultColWidth="9.25" defaultRowHeight="17.5" x14ac:dyDescent="0.35"/>
  <cols>
    <col min="1" max="1" width="9.25" style="22"/>
    <col min="2" max="2" width="24.6875" style="22" bestFit="1" customWidth="1"/>
    <col min="3" max="3" width="27.25" style="22" bestFit="1" customWidth="1"/>
    <col min="4" max="7" width="27.25" style="22" customWidth="1"/>
    <col min="8" max="8" width="19.5625" style="22" bestFit="1" customWidth="1"/>
    <col min="9" max="9" width="24.25" style="22" bestFit="1" customWidth="1"/>
    <col min="10" max="11" width="24.25" style="22" customWidth="1"/>
    <col min="12" max="12" width="58" style="22" bestFit="1" customWidth="1"/>
    <col min="13" max="13" width="8.5625" style="22" customWidth="1"/>
    <col min="14" max="15" width="12.9375" style="22" bestFit="1" customWidth="1"/>
    <col min="16" max="18" width="12.25" style="22" customWidth="1"/>
    <col min="20" max="16384" width="9.25" style="22"/>
  </cols>
  <sheetData>
    <row r="1" spans="1:19" x14ac:dyDescent="0.35">
      <c r="A1" s="22" t="s">
        <v>89</v>
      </c>
      <c r="B1" s="22" t="s">
        <v>90</v>
      </c>
      <c r="C1" s="22" t="s">
        <v>124</v>
      </c>
      <c r="D1" s="22" t="s">
        <v>125</v>
      </c>
      <c r="E1" s="22" t="s">
        <v>126</v>
      </c>
      <c r="F1" s="22" t="s">
        <v>127</v>
      </c>
      <c r="G1" s="22" t="s">
        <v>128</v>
      </c>
      <c r="H1" s="22" t="s">
        <v>129</v>
      </c>
      <c r="I1" s="22" t="s">
        <v>434</v>
      </c>
      <c r="J1" s="22" t="s">
        <v>435</v>
      </c>
      <c r="K1" s="22" t="s">
        <v>436</v>
      </c>
      <c r="L1" s="22" t="s">
        <v>130</v>
      </c>
      <c r="M1" s="22" t="s">
        <v>426</v>
      </c>
      <c r="N1" s="22" t="s">
        <v>427</v>
      </c>
      <c r="O1" s="22" t="s">
        <v>428</v>
      </c>
      <c r="P1" s="22" t="s">
        <v>229</v>
      </c>
      <c r="Q1" s="22" t="s">
        <v>230</v>
      </c>
      <c r="R1" s="22" t="s">
        <v>239</v>
      </c>
      <c r="S1" s="22" t="s">
        <v>132</v>
      </c>
    </row>
    <row r="2" spans="1:19" x14ac:dyDescent="0.35">
      <c r="A2" s="22" t="s">
        <v>111</v>
      </c>
      <c r="B2" s="22" t="s">
        <v>112</v>
      </c>
      <c r="C2" s="22" t="s">
        <v>133</v>
      </c>
      <c r="D2" s="22" t="str">
        <f>"V - " &amp;RiskStatements[[#This Row],[Climate Variables/Explainers]]</f>
        <v>V - Coastal Inundation</v>
      </c>
      <c r="E2" s="22" t="str">
        <f>"EP - " &amp;RiskStatements[[#This Row],[Climate Variables/Explainers]]</f>
        <v>EP - Coastal Inundation</v>
      </c>
      <c r="F2" s="22" t="str">
        <f>"E2050 - " &amp;RiskStatements[[#This Row],[Climate Variables/Explainers]]</f>
        <v>E2050 - Coastal Inundation</v>
      </c>
      <c r="G2" s="22" t="str">
        <f>"E2100 - " &amp;RiskStatements[[#This Row],[Climate Variables/Explainers]]</f>
        <v>E2100 - Coastal Inundation</v>
      </c>
      <c r="H2" s="22" t="str" cm="1">
        <f t="array" ref="H2">_xlfn.XLOOKUP(RiskStatements[[#This Row],[Elements at Risk]],Final_VEValues[Elements at Risk],_xlfn.XLOOKUP(RiskStatements[[#This Row],[Vulnerability Header]],Final_VEValues[#Headers],Final_VEValues[]))</f>
        <v>E</v>
      </c>
      <c r="I2" s="22" t="str" cm="1">
        <f t="array" ref="I2">_xlfn.XLOOKUP(RiskStatements[[#This Row],[Elements at Risk]],Final_VEValues[Elements at Risk],_xlfn.XLOOKUP(RiskStatements[[#This Row],[Exposure Present Header]],Final_VEValues[#Headers],Final_VEValues[]))</f>
        <v>M</v>
      </c>
      <c r="J2" s="22" t="str" cm="1">
        <f t="array" ref="J2">_xlfn.XLOOKUP(RiskStatements[[#This Row],[Elements at Risk]],Final_VEValues[Elements at Risk],_xlfn.XLOOKUP(RiskStatements[[#This Row],[Exposure 2050 Header]],Final_VEValues[#Headers],Final_VEValues[]))</f>
        <v>H</v>
      </c>
      <c r="K2" s="22" t="str" cm="1">
        <f t="array" ref="K2">_xlfn.XLOOKUP(RiskStatements[[#This Row],[Elements at Risk]],Final_VEValues[Elements at Risk],_xlfn.XLOOKUP(RiskStatements[[#This Row],[Exposure 2100 Header]],Final_VEValues[#Headers],Final_VEValues[]))</f>
        <v>E</v>
      </c>
      <c r="L2" s="22" t="str">
        <f>_xlfn.CONCAT(RiskStatements[[#This Row],[Climate Variables/Explainers]]," risk to ",RiskStatements[[#This Row],[Elements at Risk]])</f>
        <v>Coastal Inundation risk to Coastal / Marine Ecosystems</v>
      </c>
      <c r="M2" s="22" t="str" cm="1">
        <f t="array" ref="M2">_xlfn.XLOOKUP(RiskStatements[[#This Row],[Vulnerability Rating]],VEMatrix[Vulnerability],_xlfn.XLOOKUP(RiskStatements[[#This Row],[Exposure Rating - Present]],VEMatrix[#Headers],VEMatrix[]))</f>
        <v>High</v>
      </c>
      <c r="N2" s="22" t="str" cm="1">
        <f t="array" ref="N2">_xlfn.XLOOKUP(RiskStatements[[#This Row],[Vulnerability Rating]],VEMatrix[Vulnerability],_xlfn.XLOOKUP(RiskStatements[[#This Row],[Exposure Rating - 2050]],VEMatrix[#Headers],VEMatrix[]))</f>
        <v>Extreme</v>
      </c>
      <c r="O2" s="22" t="str" cm="1">
        <f t="array" ref="O2">_xlfn.XLOOKUP(RiskStatements[[#This Row],[Vulnerability Rating]],VEMatrix[Vulnerability],_xlfn.XLOOKUP(RiskStatements[[#This Row],[Exposure Rating - 2100]],VEMatrix[#Headers],VEMatrix[]))</f>
        <v>Extreme</v>
      </c>
      <c r="P2" s="22">
        <f>_xlfn.XLOOKUP(RiskStatements[[#This Row],[Risk Rating - Present]],RatingOrder[Rating Order],RatingOrder[Rating Score],0,0)</f>
        <v>3</v>
      </c>
      <c r="Q2" s="22">
        <f>_xlfn.XLOOKUP(RiskStatements[[#This Row],[Risk Rating - 2050]],RatingOrder[Rating Order],RatingOrder[Rating Score],0,0)</f>
        <v>4</v>
      </c>
      <c r="R2" s="22">
        <f>_xlfn.XLOOKUP(RiskStatements[[#This Row],[Risk Rating - 2100]],RatingOrder[Rating Order],RatingOrder[Rating Score],0,0)</f>
        <v>4</v>
      </c>
      <c r="S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3" spans="1:19" hidden="1" x14ac:dyDescent="0.35">
      <c r="A3" s="22" t="s">
        <v>111</v>
      </c>
      <c r="B3" s="22" t="s">
        <v>117</v>
      </c>
      <c r="C3" s="22" t="s">
        <v>133</v>
      </c>
      <c r="D3" s="22" t="str">
        <f>"V - " &amp;RiskStatements[[#This Row],[Climate Variables/Explainers]]</f>
        <v>V - Coastal Inundation</v>
      </c>
      <c r="E3" s="22" t="str">
        <f>"EP - " &amp;RiskStatements[[#This Row],[Climate Variables/Explainers]]</f>
        <v>EP - Coastal Inundation</v>
      </c>
      <c r="F3" s="22" t="str">
        <f>"E2050 - " &amp;RiskStatements[[#This Row],[Climate Variables/Explainers]]</f>
        <v>E2050 - Coastal Inundation</v>
      </c>
      <c r="G3" s="22" t="str">
        <f>"E2100 - " &amp;RiskStatements[[#This Row],[Climate Variables/Explainers]]</f>
        <v>E2100 - Coastal Inundation</v>
      </c>
      <c r="H3" s="22" t="str" cm="1">
        <f t="array" ref="H3">_xlfn.XLOOKUP(RiskStatements[[#This Row],[Elements at Risk]],Final_VEValues[Elements at Risk],_xlfn.XLOOKUP(RiskStatements[[#This Row],[Vulnerability Header]],Final_VEValues[#Headers],Final_VEValues[]))</f>
        <v>L</v>
      </c>
      <c r="I3" s="22" t="str" cm="1">
        <f t="array" ref="I3">_xlfn.XLOOKUP(RiskStatements[[#This Row],[Elements at Risk]],Final_VEValues[Elements at Risk],_xlfn.XLOOKUP(RiskStatements[[#This Row],[Exposure Present Header]],Final_VEValues[#Headers],Final_VEValues[]))</f>
        <v>L</v>
      </c>
      <c r="J3" s="22" t="str" cm="1">
        <f t="array" ref="J3">_xlfn.XLOOKUP(RiskStatements[[#This Row],[Elements at Risk]],Final_VEValues[Elements at Risk],_xlfn.XLOOKUP(RiskStatements[[#This Row],[Exposure 2050 Header]],Final_VEValues[#Headers],Final_VEValues[]))</f>
        <v>M</v>
      </c>
      <c r="K3" s="22" t="str" cm="1">
        <f t="array" ref="K3">_xlfn.XLOOKUP(RiskStatements[[#This Row],[Elements at Risk]],Final_VEValues[Elements at Risk],_xlfn.XLOOKUP(RiskStatements[[#This Row],[Exposure 2100 Header]],Final_VEValues[#Headers],Final_VEValues[]))</f>
        <v>H</v>
      </c>
      <c r="L3" s="22" t="str">
        <f>_xlfn.CONCAT(RiskStatements[[#This Row],[Climate Variables/Explainers]]," risk to ",RiskStatements[[#This Row],[Elements at Risk]])</f>
        <v>Coastal Inundation risk to Terrestrial Ecosystems</v>
      </c>
      <c r="M3" s="22" t="str" cm="1">
        <f t="array" ref="M3">_xlfn.XLOOKUP(RiskStatements[[#This Row],[Vulnerability Rating]],VEMatrix[Vulnerability],_xlfn.XLOOKUP(RiskStatements[[#This Row],[Exposure Rating - Present]],VEMatrix[#Headers],VEMatrix[]))</f>
        <v>Low</v>
      </c>
      <c r="N3" s="22" t="str" cm="1">
        <f t="array" ref="N3">_xlfn.XLOOKUP(RiskStatements[[#This Row],[Vulnerability Rating]],VEMatrix[Vulnerability],_xlfn.XLOOKUP(RiskStatements[[#This Row],[Exposure Rating - 2050]],VEMatrix[#Headers],VEMatrix[]))</f>
        <v>Low</v>
      </c>
      <c r="O3" s="22" t="str" cm="1">
        <f t="array" ref="O3">_xlfn.XLOOKUP(RiskStatements[[#This Row],[Vulnerability Rating]],VEMatrix[Vulnerability],_xlfn.XLOOKUP(RiskStatements[[#This Row],[Exposure Rating - 2100]],VEMatrix[#Headers],VEMatrix[]))</f>
        <v>Moderate</v>
      </c>
      <c r="P3" s="22">
        <f>_xlfn.XLOOKUP(RiskStatements[[#This Row],[Risk Rating - Present]],RatingOrder[Rating Order],RatingOrder[Rating Score],0,0)</f>
        <v>1</v>
      </c>
      <c r="Q3" s="22">
        <f>_xlfn.XLOOKUP(RiskStatements[[#This Row],[Risk Rating - 2050]],RatingOrder[Rating Order],RatingOrder[Rating Score],0,0)</f>
        <v>1</v>
      </c>
      <c r="R3" s="22">
        <f>_xlfn.XLOOKUP(RiskStatements[[#This Row],[Risk Rating - 2100]],RatingOrder[Rating Order],RatingOrder[Rating Score],0,0)</f>
        <v>2</v>
      </c>
      <c r="S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4" spans="1:19" hidden="1" x14ac:dyDescent="0.35">
      <c r="A4" s="22" t="s">
        <v>111</v>
      </c>
      <c r="B4" s="22" t="s">
        <v>119</v>
      </c>
      <c r="C4" s="22" t="s">
        <v>133</v>
      </c>
      <c r="D4" s="22" t="str">
        <f>"V - " &amp;RiskStatements[[#This Row],[Climate Variables/Explainers]]</f>
        <v>V - Coastal Inundation</v>
      </c>
      <c r="E4" s="22" t="str">
        <f>"EP - " &amp;RiskStatements[[#This Row],[Climate Variables/Explainers]]</f>
        <v>EP - Coastal Inundation</v>
      </c>
      <c r="F4" s="22" t="str">
        <f>"E2050 - " &amp;RiskStatements[[#This Row],[Climate Variables/Explainers]]</f>
        <v>E2050 - Coastal Inundation</v>
      </c>
      <c r="G4" s="22" t="str">
        <f>"E2100 - " &amp;RiskStatements[[#This Row],[Climate Variables/Explainers]]</f>
        <v>E2100 - Coastal Inundation</v>
      </c>
      <c r="H4" s="22" t="str" cm="1">
        <f t="array" ref="H4">_xlfn.XLOOKUP(RiskStatements[[#This Row],[Elements at Risk]],Final_VEValues[Elements at Risk],_xlfn.XLOOKUP(RiskStatements[[#This Row],[Vulnerability Header]],Final_VEValues[#Headers],Final_VEValues[]))</f>
        <v>H</v>
      </c>
      <c r="I4" s="22" t="str" cm="1">
        <f t="array" ref="I4">_xlfn.XLOOKUP(RiskStatements[[#This Row],[Elements at Risk]],Final_VEValues[Elements at Risk],_xlfn.XLOOKUP(RiskStatements[[#This Row],[Exposure Present Header]],Final_VEValues[#Headers],Final_VEValues[]))</f>
        <v>L</v>
      </c>
      <c r="J4" s="22" t="str" cm="1">
        <f t="array" ref="J4">_xlfn.XLOOKUP(RiskStatements[[#This Row],[Elements at Risk]],Final_VEValues[Elements at Risk],_xlfn.XLOOKUP(RiskStatements[[#This Row],[Exposure 2050 Header]],Final_VEValues[#Headers],Final_VEValues[]))</f>
        <v>H</v>
      </c>
      <c r="K4" s="22" t="str" cm="1">
        <f t="array" ref="K4">_xlfn.XLOOKUP(RiskStatements[[#This Row],[Elements at Risk]],Final_VEValues[Elements at Risk],_xlfn.XLOOKUP(RiskStatements[[#This Row],[Exposure 2100 Header]],Final_VEValues[#Headers],Final_VEValues[]))</f>
        <v>H</v>
      </c>
      <c r="L4" s="22" t="str">
        <f>_xlfn.CONCAT(RiskStatements[[#This Row],[Climate Variables/Explainers]]," risk to ",RiskStatements[[#This Row],[Elements at Risk]])</f>
        <v>Coastal Inundation risk to Freshwater Ecosystems</v>
      </c>
      <c r="M4" s="22" t="str" cm="1">
        <f t="array" ref="M4">_xlfn.XLOOKUP(RiskStatements[[#This Row],[Vulnerability Rating]],VEMatrix[Vulnerability],_xlfn.XLOOKUP(RiskStatements[[#This Row],[Exposure Rating - Present]],VEMatrix[#Headers],VEMatrix[]))</f>
        <v>Low</v>
      </c>
      <c r="N4" s="22" t="str" cm="1">
        <f t="array" ref="N4">_xlfn.XLOOKUP(RiskStatements[[#This Row],[Vulnerability Rating]],VEMatrix[Vulnerability],_xlfn.XLOOKUP(RiskStatements[[#This Row],[Exposure Rating - 2050]],VEMatrix[#Headers],VEMatrix[]))</f>
        <v>High</v>
      </c>
      <c r="O4" s="22" t="str" cm="1">
        <f t="array" ref="O4">_xlfn.XLOOKUP(RiskStatements[[#This Row],[Vulnerability Rating]],VEMatrix[Vulnerability],_xlfn.XLOOKUP(RiskStatements[[#This Row],[Exposure Rating - 2100]],VEMatrix[#Headers],VEMatrix[]))</f>
        <v>High</v>
      </c>
      <c r="P4" s="22">
        <f>_xlfn.XLOOKUP(RiskStatements[[#This Row],[Risk Rating - Present]],RatingOrder[Rating Order],RatingOrder[Rating Score],0,0)</f>
        <v>1</v>
      </c>
      <c r="Q4" s="22">
        <f>_xlfn.XLOOKUP(RiskStatements[[#This Row],[Risk Rating - 2050]],RatingOrder[Rating Order],RatingOrder[Rating Score],0,0)</f>
        <v>3</v>
      </c>
      <c r="R4" s="22">
        <f>_xlfn.XLOOKUP(RiskStatements[[#This Row],[Risk Rating - 2100]],RatingOrder[Rating Order],RatingOrder[Rating Score],0,0)</f>
        <v>3</v>
      </c>
      <c r="S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5" spans="1:19" hidden="1" x14ac:dyDescent="0.35">
      <c r="A5" s="22" t="s">
        <v>120</v>
      </c>
      <c r="B5" s="22" t="s">
        <v>210</v>
      </c>
      <c r="C5" s="22" t="s">
        <v>133</v>
      </c>
      <c r="D5" s="22" t="str">
        <f>"V - " &amp;RiskStatements[[#This Row],[Climate Variables/Explainers]]</f>
        <v>V - Coastal Inundation</v>
      </c>
      <c r="E5" s="22" t="str">
        <f>"EP - " &amp;RiskStatements[[#This Row],[Climate Variables/Explainers]]</f>
        <v>EP - Coastal Inundation</v>
      </c>
      <c r="F5" s="22" t="str">
        <f>"E2050 - " &amp;RiskStatements[[#This Row],[Climate Variables/Explainers]]</f>
        <v>E2050 - Coastal Inundation</v>
      </c>
      <c r="G5" s="22" t="str">
        <f>"E2100 - " &amp;RiskStatements[[#This Row],[Climate Variables/Explainers]]</f>
        <v>E2100 - Coastal Inundation</v>
      </c>
      <c r="H5" s="22" t="str" cm="1">
        <f t="array" ref="H5">_xlfn.XLOOKUP(RiskStatements[[#This Row],[Elements at Risk]],Final_VEValues[Elements at Risk],_xlfn.XLOOKUP(RiskStatements[[#This Row],[Vulnerability Header]],Final_VEValues[#Headers],Final_VEValues[]))</f>
        <v>H</v>
      </c>
      <c r="I5" s="22" t="str" cm="1">
        <f t="array" ref="I5">_xlfn.XLOOKUP(RiskStatements[[#This Row],[Elements at Risk]],Final_VEValues[Elements at Risk],_xlfn.XLOOKUP(RiskStatements[[#This Row],[Exposure Present Header]],Final_VEValues[#Headers],Final_VEValues[]))</f>
        <v>M</v>
      </c>
      <c r="J5" s="22" t="str" cm="1">
        <f t="array" ref="J5">_xlfn.XLOOKUP(RiskStatements[[#This Row],[Elements at Risk]],Final_VEValues[Elements at Risk],_xlfn.XLOOKUP(RiskStatements[[#This Row],[Exposure 2050 Header]],Final_VEValues[#Headers],Final_VEValues[]))</f>
        <v>H</v>
      </c>
      <c r="K5" s="22" t="str" cm="1">
        <f t="array" ref="K5">_xlfn.XLOOKUP(RiskStatements[[#This Row],[Elements at Risk]],Final_VEValues[Elements at Risk],_xlfn.XLOOKUP(RiskStatements[[#This Row],[Exposure 2100 Header]],Final_VEValues[#Headers],Final_VEValues[]))</f>
        <v>E</v>
      </c>
      <c r="L5" s="22" t="str">
        <f>_xlfn.CONCAT(RiskStatements[[#This Row],[Climate Variables/Explainers]]," risk to ",RiskStatements[[#This Row],[Elements at Risk]])</f>
        <v>Coastal Inundation risk to Inhabited Buildings</v>
      </c>
      <c r="M5" s="22" t="str" cm="1">
        <f t="array" ref="M5">_xlfn.XLOOKUP(RiskStatements[[#This Row],[Vulnerability Rating]],VEMatrix[Vulnerability],_xlfn.XLOOKUP(RiskStatements[[#This Row],[Exposure Rating - Present]],VEMatrix[#Headers],VEMatrix[]))</f>
        <v>Moderate</v>
      </c>
      <c r="N5" s="22" t="str" cm="1">
        <f t="array" ref="N5">_xlfn.XLOOKUP(RiskStatements[[#This Row],[Vulnerability Rating]],VEMatrix[Vulnerability],_xlfn.XLOOKUP(RiskStatements[[#This Row],[Exposure Rating - 2050]],VEMatrix[#Headers],VEMatrix[]))</f>
        <v>High</v>
      </c>
      <c r="O5" s="22" t="str" cm="1">
        <f t="array" ref="O5">_xlfn.XLOOKUP(RiskStatements[[#This Row],[Vulnerability Rating]],VEMatrix[Vulnerability],_xlfn.XLOOKUP(RiskStatements[[#This Row],[Exposure Rating - 2100]],VEMatrix[#Headers],VEMatrix[]))</f>
        <v>Extreme</v>
      </c>
      <c r="P5" s="22">
        <f>_xlfn.XLOOKUP(RiskStatements[[#This Row],[Risk Rating - Present]],RatingOrder[Rating Order],RatingOrder[Rating Score],0,0)</f>
        <v>2</v>
      </c>
      <c r="Q5" s="22">
        <f>_xlfn.XLOOKUP(RiskStatements[[#This Row],[Risk Rating - 2050]],RatingOrder[Rating Order],RatingOrder[Rating Score],0,0)</f>
        <v>3</v>
      </c>
      <c r="R5" s="22">
        <f>_xlfn.XLOOKUP(RiskStatements[[#This Row],[Risk Rating - 2100]],RatingOrder[Rating Order],RatingOrder[Rating Score],0,0)</f>
        <v>4</v>
      </c>
      <c r="S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6" spans="1:19" hidden="1" x14ac:dyDescent="0.35">
      <c r="A6" s="22" t="s">
        <v>120</v>
      </c>
      <c r="B6" s="22" t="s">
        <v>218</v>
      </c>
      <c r="C6" s="22" t="s">
        <v>133</v>
      </c>
      <c r="D6" s="22" t="str">
        <f>"V - " &amp;RiskStatements[[#This Row],[Climate Variables/Explainers]]</f>
        <v>V - Coastal Inundation</v>
      </c>
      <c r="E6" s="22" t="str">
        <f>"EP - " &amp;RiskStatements[[#This Row],[Climate Variables/Explainers]]</f>
        <v>EP - Coastal Inundation</v>
      </c>
      <c r="F6" s="22" t="str">
        <f>"E2050 - " &amp;RiskStatements[[#This Row],[Climate Variables/Explainers]]</f>
        <v>E2050 - Coastal Inundation</v>
      </c>
      <c r="G6" s="22" t="str">
        <f>"E2100 - " &amp;RiskStatements[[#This Row],[Climate Variables/Explainers]]</f>
        <v>E2100 - Coastal Inundation</v>
      </c>
      <c r="H6" s="22" t="str" cm="1">
        <f t="array" ref="H6">_xlfn.XLOOKUP(RiskStatements[[#This Row],[Elements at Risk]],Final_VEValues[Elements at Risk],_xlfn.XLOOKUP(RiskStatements[[#This Row],[Vulnerability Header]],Final_VEValues[#Headers],Final_VEValues[]))</f>
        <v>H</v>
      </c>
      <c r="I6" s="22" t="str" cm="1">
        <f t="array" ref="I6">_xlfn.XLOOKUP(RiskStatements[[#This Row],[Elements at Risk]],Final_VEValues[Elements at Risk],_xlfn.XLOOKUP(RiskStatements[[#This Row],[Exposure Present Header]],Final_VEValues[#Headers],Final_VEValues[]))</f>
        <v>M</v>
      </c>
      <c r="J6" s="22" t="str" cm="1">
        <f t="array" ref="J6">_xlfn.XLOOKUP(RiskStatements[[#This Row],[Elements at Risk]],Final_VEValues[Elements at Risk],_xlfn.XLOOKUP(RiskStatements[[#This Row],[Exposure 2050 Header]],Final_VEValues[#Headers],Final_VEValues[]))</f>
        <v>H</v>
      </c>
      <c r="K6" s="22" t="str" cm="1">
        <f t="array" ref="K6">_xlfn.XLOOKUP(RiskStatements[[#This Row],[Elements at Risk]],Final_VEValues[Elements at Risk],_xlfn.XLOOKUP(RiskStatements[[#This Row],[Exposure 2100 Header]],Final_VEValues[#Headers],Final_VEValues[]))</f>
        <v>E</v>
      </c>
      <c r="L6" s="22" t="str">
        <f>_xlfn.CONCAT(RiskStatements[[#This Row],[Climate Variables/Explainers]]," risk to ",RiskStatements[[#This Row],[Elements at Risk]])</f>
        <v>Coastal Inundation risk to Ports / Wharves</v>
      </c>
      <c r="M6" s="22" t="str" cm="1">
        <f t="array" ref="M6">_xlfn.XLOOKUP(RiskStatements[[#This Row],[Vulnerability Rating]],VEMatrix[Vulnerability],_xlfn.XLOOKUP(RiskStatements[[#This Row],[Exposure Rating - Present]],VEMatrix[#Headers],VEMatrix[]))</f>
        <v>Moderate</v>
      </c>
      <c r="N6" s="22" t="str" cm="1">
        <f t="array" ref="N6">_xlfn.XLOOKUP(RiskStatements[[#This Row],[Vulnerability Rating]],VEMatrix[Vulnerability],_xlfn.XLOOKUP(RiskStatements[[#This Row],[Exposure Rating - 2050]],VEMatrix[#Headers],VEMatrix[]))</f>
        <v>High</v>
      </c>
      <c r="O6" s="22" t="str" cm="1">
        <f t="array" ref="O6">_xlfn.XLOOKUP(RiskStatements[[#This Row],[Vulnerability Rating]],VEMatrix[Vulnerability],_xlfn.XLOOKUP(RiskStatements[[#This Row],[Exposure Rating - 2100]],VEMatrix[#Headers],VEMatrix[]))</f>
        <v>Extreme</v>
      </c>
      <c r="P6" s="22">
        <f>_xlfn.XLOOKUP(RiskStatements[[#This Row],[Risk Rating - Present]],RatingOrder[Rating Order],RatingOrder[Rating Score],0,0)</f>
        <v>2</v>
      </c>
      <c r="Q6" s="22">
        <f>_xlfn.XLOOKUP(RiskStatements[[#This Row],[Risk Rating - 2050]],RatingOrder[Rating Order],RatingOrder[Rating Score],0,0)</f>
        <v>3</v>
      </c>
      <c r="R6" s="22">
        <f>_xlfn.XLOOKUP(RiskStatements[[#This Row],[Risk Rating - 2100]],RatingOrder[Rating Order],RatingOrder[Rating Score],0,0)</f>
        <v>4</v>
      </c>
      <c r="S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7" spans="1:19" hidden="1" x14ac:dyDescent="0.35">
      <c r="A7" s="22" t="s">
        <v>120</v>
      </c>
      <c r="B7" s="22" t="s">
        <v>220</v>
      </c>
      <c r="C7" s="22" t="s">
        <v>133</v>
      </c>
      <c r="D7" s="22" t="str">
        <f>"V - " &amp;RiskStatements[[#This Row],[Climate Variables/Explainers]]</f>
        <v>V - Coastal Inundation</v>
      </c>
      <c r="E7" s="22" t="str">
        <f>"EP - " &amp;RiskStatements[[#This Row],[Climate Variables/Explainers]]</f>
        <v>EP - Coastal Inundation</v>
      </c>
      <c r="F7" s="22" t="str">
        <f>"E2050 - " &amp;RiskStatements[[#This Row],[Climate Variables/Explainers]]</f>
        <v>E2050 - Coastal Inundation</v>
      </c>
      <c r="G7" s="22" t="str">
        <f>"E2100 - " &amp;RiskStatements[[#This Row],[Climate Variables/Explainers]]</f>
        <v>E2100 - Coastal Inundation</v>
      </c>
      <c r="H7" s="22" t="str" cm="1">
        <f t="array" ref="H7">_xlfn.XLOOKUP(RiskStatements[[#This Row],[Elements at Risk]],Final_VEValues[Elements at Risk],_xlfn.XLOOKUP(RiskStatements[[#This Row],[Vulnerability Header]],Final_VEValues[#Headers],Final_VEValues[]))</f>
        <v>H</v>
      </c>
      <c r="I7" s="22" t="str" cm="1">
        <f t="array" ref="I7">_xlfn.XLOOKUP(RiskStatements[[#This Row],[Elements at Risk]],Final_VEValues[Elements at Risk],_xlfn.XLOOKUP(RiskStatements[[#This Row],[Exposure Present Header]],Final_VEValues[#Headers],Final_VEValues[]))</f>
        <v>M</v>
      </c>
      <c r="J7" s="22" t="str" cm="1">
        <f t="array" ref="J7">_xlfn.XLOOKUP(RiskStatements[[#This Row],[Elements at Risk]],Final_VEValues[Elements at Risk],_xlfn.XLOOKUP(RiskStatements[[#This Row],[Exposure 2050 Header]],Final_VEValues[#Headers],Final_VEValues[]))</f>
        <v>H</v>
      </c>
      <c r="K7" s="22" t="str" cm="1">
        <f t="array" ref="K7">_xlfn.XLOOKUP(RiskStatements[[#This Row],[Elements at Risk]],Final_VEValues[Elements at Risk],_xlfn.XLOOKUP(RiskStatements[[#This Row],[Exposure 2100 Header]],Final_VEValues[#Headers],Final_VEValues[]))</f>
        <v>E</v>
      </c>
      <c r="L7" s="22" t="str">
        <f>_xlfn.CONCAT(RiskStatements[[#This Row],[Climate Variables/Explainers]]," risk to ",RiskStatements[[#This Row],[Elements at Risk]])</f>
        <v>Coastal Inundation risk to Airports / Airfields</v>
      </c>
      <c r="M7" s="22" t="str" cm="1">
        <f t="array" ref="M7">_xlfn.XLOOKUP(RiskStatements[[#This Row],[Vulnerability Rating]],VEMatrix[Vulnerability],_xlfn.XLOOKUP(RiskStatements[[#This Row],[Exposure Rating - Present]],VEMatrix[#Headers],VEMatrix[]))</f>
        <v>Moderate</v>
      </c>
      <c r="N7" s="22" t="str" cm="1">
        <f t="array" ref="N7">_xlfn.XLOOKUP(RiskStatements[[#This Row],[Vulnerability Rating]],VEMatrix[Vulnerability],_xlfn.XLOOKUP(RiskStatements[[#This Row],[Exposure Rating - 2050]],VEMatrix[#Headers],VEMatrix[]))</f>
        <v>High</v>
      </c>
      <c r="O7" s="22" t="str" cm="1">
        <f t="array" ref="O7">_xlfn.XLOOKUP(RiskStatements[[#This Row],[Vulnerability Rating]],VEMatrix[Vulnerability],_xlfn.XLOOKUP(RiskStatements[[#This Row],[Exposure Rating - 2100]],VEMatrix[#Headers],VEMatrix[]))</f>
        <v>Extreme</v>
      </c>
      <c r="P7" s="22">
        <f>_xlfn.XLOOKUP(RiskStatements[[#This Row],[Risk Rating - Present]],RatingOrder[Rating Order],RatingOrder[Rating Score],0,0)</f>
        <v>2</v>
      </c>
      <c r="Q7" s="22">
        <f>_xlfn.XLOOKUP(RiskStatements[[#This Row],[Risk Rating - 2050]],RatingOrder[Rating Order],RatingOrder[Rating Score],0,0)</f>
        <v>3</v>
      </c>
      <c r="R7" s="22">
        <f>_xlfn.XLOOKUP(RiskStatements[[#This Row],[Risk Rating - 2100]],RatingOrder[Rating Order],RatingOrder[Rating Score],0,0)</f>
        <v>4</v>
      </c>
      <c r="S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8" spans="1:19" hidden="1" x14ac:dyDescent="0.35">
      <c r="A8" s="22" t="s">
        <v>120</v>
      </c>
      <c r="B8" s="22" t="s">
        <v>67</v>
      </c>
      <c r="C8" s="22" t="s">
        <v>133</v>
      </c>
      <c r="D8" s="22" t="str">
        <f>"V - " &amp;RiskStatements[[#This Row],[Climate Variables/Explainers]]</f>
        <v>V - Coastal Inundation</v>
      </c>
      <c r="E8" s="22" t="str">
        <f>"EP - " &amp;RiskStatements[[#This Row],[Climate Variables/Explainers]]</f>
        <v>EP - Coastal Inundation</v>
      </c>
      <c r="F8" s="22" t="str">
        <f>"E2050 - " &amp;RiskStatements[[#This Row],[Climate Variables/Explainers]]</f>
        <v>E2050 - Coastal Inundation</v>
      </c>
      <c r="G8" s="22" t="str">
        <f>"E2100 - " &amp;RiskStatements[[#This Row],[Climate Variables/Explainers]]</f>
        <v>E2100 - Coastal Inundation</v>
      </c>
      <c r="H8" s="22" t="str" cm="1">
        <f t="array" ref="H8">_xlfn.XLOOKUP(RiskStatements[[#This Row],[Elements at Risk]],Final_VEValues[Elements at Risk],_xlfn.XLOOKUP(RiskStatements[[#This Row],[Vulnerability Header]],Final_VEValues[#Headers],Final_VEValues[]))</f>
        <v>M</v>
      </c>
      <c r="I8" s="22" t="str" cm="1">
        <f t="array" ref="I8">_xlfn.XLOOKUP(RiskStatements[[#This Row],[Elements at Risk]],Final_VEValues[Elements at Risk],_xlfn.XLOOKUP(RiskStatements[[#This Row],[Exposure Present Header]],Final_VEValues[#Headers],Final_VEValues[]))</f>
        <v>L</v>
      </c>
      <c r="J8" s="22" t="str" cm="1">
        <f t="array" ref="J8">_xlfn.XLOOKUP(RiskStatements[[#This Row],[Elements at Risk]],Final_VEValues[Elements at Risk],_xlfn.XLOOKUP(RiskStatements[[#This Row],[Exposure 2050 Header]],Final_VEValues[#Headers],Final_VEValues[]))</f>
        <v>L</v>
      </c>
      <c r="K8" s="22" t="str" cm="1">
        <f t="array" ref="K8">_xlfn.XLOOKUP(RiskStatements[[#This Row],[Elements at Risk]],Final_VEValues[Elements at Risk],_xlfn.XLOOKUP(RiskStatements[[#This Row],[Exposure 2100 Header]],Final_VEValues[#Headers],Final_VEValues[]))</f>
        <v>M</v>
      </c>
      <c r="L8" s="22" t="str">
        <f>_xlfn.CONCAT(RiskStatements[[#This Row],[Climate Variables/Explainers]]," risk to ",RiskStatements[[#This Row],[Elements at Risk]])</f>
        <v>Coastal Inundation risk to Telecommunications</v>
      </c>
      <c r="M8" s="22" t="str" cm="1">
        <f t="array" ref="M8">_xlfn.XLOOKUP(RiskStatements[[#This Row],[Vulnerability Rating]],VEMatrix[Vulnerability],_xlfn.XLOOKUP(RiskStatements[[#This Row],[Exposure Rating - Present]],VEMatrix[#Headers],VEMatrix[]))</f>
        <v>Low</v>
      </c>
      <c r="N8" s="22" t="str" cm="1">
        <f t="array" ref="N8">_xlfn.XLOOKUP(RiskStatements[[#This Row],[Vulnerability Rating]],VEMatrix[Vulnerability],_xlfn.XLOOKUP(RiskStatements[[#This Row],[Exposure Rating - 2050]],VEMatrix[#Headers],VEMatrix[]))</f>
        <v>Low</v>
      </c>
      <c r="O8" s="22" t="str" cm="1">
        <f t="array" ref="O8">_xlfn.XLOOKUP(RiskStatements[[#This Row],[Vulnerability Rating]],VEMatrix[Vulnerability],_xlfn.XLOOKUP(RiskStatements[[#This Row],[Exposure Rating - 2100]],VEMatrix[#Headers],VEMatrix[]))</f>
        <v>Moderate</v>
      </c>
      <c r="P8" s="22">
        <f>_xlfn.XLOOKUP(RiskStatements[[#This Row],[Risk Rating - Present]],RatingOrder[Rating Order],RatingOrder[Rating Score],0,0)</f>
        <v>1</v>
      </c>
      <c r="Q8" s="22">
        <f>_xlfn.XLOOKUP(RiskStatements[[#This Row],[Risk Rating - 2050]],RatingOrder[Rating Order],RatingOrder[Rating Score],0,0)</f>
        <v>1</v>
      </c>
      <c r="R8" s="22">
        <f>_xlfn.XLOOKUP(RiskStatements[[#This Row],[Risk Rating - 2100]],RatingOrder[Rating Order],RatingOrder[Rating Score],0,0)</f>
        <v>2</v>
      </c>
      <c r="S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9" spans="1:19" hidden="1" x14ac:dyDescent="0.35">
      <c r="A9" s="22" t="s">
        <v>120</v>
      </c>
      <c r="B9" s="22" t="s">
        <v>121</v>
      </c>
      <c r="C9" s="22" t="s">
        <v>133</v>
      </c>
      <c r="D9" s="22" t="str">
        <f>"V - " &amp;RiskStatements[[#This Row],[Climate Variables/Explainers]]</f>
        <v>V - Coastal Inundation</v>
      </c>
      <c r="E9" s="22" t="str">
        <f>"EP - " &amp;RiskStatements[[#This Row],[Climate Variables/Explainers]]</f>
        <v>EP - Coastal Inundation</v>
      </c>
      <c r="F9" s="22" t="str">
        <f>"E2050 - " &amp;RiskStatements[[#This Row],[Climate Variables/Explainers]]</f>
        <v>E2050 - Coastal Inundation</v>
      </c>
      <c r="G9" s="22" t="str">
        <f>"E2100 - " &amp;RiskStatements[[#This Row],[Climate Variables/Explainers]]</f>
        <v>E2100 - Coastal Inundation</v>
      </c>
      <c r="H9" s="22" t="str" cm="1">
        <f t="array" ref="H9">_xlfn.XLOOKUP(RiskStatements[[#This Row],[Elements at Risk]],Final_VEValues[Elements at Risk],_xlfn.XLOOKUP(RiskStatements[[#This Row],[Vulnerability Header]],Final_VEValues[#Headers],Final_VEValues[]))</f>
        <v>M</v>
      </c>
      <c r="I9" s="22" t="str" cm="1">
        <f t="array" ref="I9">_xlfn.XLOOKUP(RiskStatements[[#This Row],[Elements at Risk]],Final_VEValues[Elements at Risk],_xlfn.XLOOKUP(RiskStatements[[#This Row],[Exposure Present Header]],Final_VEValues[#Headers],Final_VEValues[]))</f>
        <v>L</v>
      </c>
      <c r="J9" s="22" t="str" cm="1">
        <f t="array" ref="J9">_xlfn.XLOOKUP(RiskStatements[[#This Row],[Elements at Risk]],Final_VEValues[Elements at Risk],_xlfn.XLOOKUP(RiskStatements[[#This Row],[Exposure 2050 Header]],Final_VEValues[#Headers],Final_VEValues[]))</f>
        <v>L</v>
      </c>
      <c r="K9" s="22" t="str" cm="1">
        <f t="array" ref="K9">_xlfn.XLOOKUP(RiskStatements[[#This Row],[Elements at Risk]],Final_VEValues[Elements at Risk],_xlfn.XLOOKUP(RiskStatements[[#This Row],[Exposure 2100 Header]],Final_VEValues[#Headers],Final_VEValues[]))</f>
        <v>H</v>
      </c>
      <c r="L9" s="22" t="str">
        <f>_xlfn.CONCAT(RiskStatements[[#This Row],[Climate Variables/Explainers]]," risk to ",RiskStatements[[#This Row],[Elements at Risk]])</f>
        <v>Coastal Inundation risk to Electricity</v>
      </c>
      <c r="M9" s="22" t="str" cm="1">
        <f t="array" ref="M9">_xlfn.XLOOKUP(RiskStatements[[#This Row],[Vulnerability Rating]],VEMatrix[Vulnerability],_xlfn.XLOOKUP(RiskStatements[[#This Row],[Exposure Rating - Present]],VEMatrix[#Headers],VEMatrix[]))</f>
        <v>Low</v>
      </c>
      <c r="N9" s="22" t="str" cm="1">
        <f t="array" ref="N9">_xlfn.XLOOKUP(RiskStatements[[#This Row],[Vulnerability Rating]],VEMatrix[Vulnerability],_xlfn.XLOOKUP(RiskStatements[[#This Row],[Exposure Rating - 2050]],VEMatrix[#Headers],VEMatrix[]))</f>
        <v>Low</v>
      </c>
      <c r="O9" s="22" t="str" cm="1">
        <f t="array" ref="O9">_xlfn.XLOOKUP(RiskStatements[[#This Row],[Vulnerability Rating]],VEMatrix[Vulnerability],_xlfn.XLOOKUP(RiskStatements[[#This Row],[Exposure Rating - 2100]],VEMatrix[#Headers],VEMatrix[]))</f>
        <v>Moderate</v>
      </c>
      <c r="P9" s="22">
        <f>_xlfn.XLOOKUP(RiskStatements[[#This Row],[Risk Rating - Present]],RatingOrder[Rating Order],RatingOrder[Rating Score],0,0)</f>
        <v>1</v>
      </c>
      <c r="Q9" s="22">
        <f>_xlfn.XLOOKUP(RiskStatements[[#This Row],[Risk Rating - 2050]],RatingOrder[Rating Order],RatingOrder[Rating Score],0,0)</f>
        <v>1</v>
      </c>
      <c r="R9" s="22">
        <f>_xlfn.XLOOKUP(RiskStatements[[#This Row],[Risk Rating - 2100]],RatingOrder[Rating Order],RatingOrder[Rating Score],0,0)</f>
        <v>2</v>
      </c>
      <c r="S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0" spans="1:19" hidden="1" x14ac:dyDescent="0.35">
      <c r="A10" s="22" t="s">
        <v>120</v>
      </c>
      <c r="B10" s="22" t="s">
        <v>70</v>
      </c>
      <c r="C10" s="22" t="s">
        <v>133</v>
      </c>
      <c r="D10" s="22" t="str">
        <f>"V - " &amp;RiskStatements[[#This Row],[Climate Variables/Explainers]]</f>
        <v>V - Coastal Inundation</v>
      </c>
      <c r="E10" s="22" t="str">
        <f>"EP - " &amp;RiskStatements[[#This Row],[Climate Variables/Explainers]]</f>
        <v>EP - Coastal Inundation</v>
      </c>
      <c r="F10" s="22" t="str">
        <f>"E2050 - " &amp;RiskStatements[[#This Row],[Climate Variables/Explainers]]</f>
        <v>E2050 - Coastal Inundation</v>
      </c>
      <c r="G10" s="22" t="str">
        <f>"E2100 - " &amp;RiskStatements[[#This Row],[Climate Variables/Explainers]]</f>
        <v>E2100 - Coastal Inundation</v>
      </c>
      <c r="H10" s="22" t="str" cm="1">
        <f t="array" ref="H10">_xlfn.XLOOKUP(RiskStatements[[#This Row],[Elements at Risk]],Final_VEValues[Elements at Risk],_xlfn.XLOOKUP(RiskStatements[[#This Row],[Vulnerability Header]],Final_VEValues[#Headers],Final_VEValues[]))</f>
        <v>H</v>
      </c>
      <c r="I10" s="22" t="str" cm="1">
        <f t="array" ref="I10">_xlfn.XLOOKUP(RiskStatements[[#This Row],[Elements at Risk]],Final_VEValues[Elements at Risk],_xlfn.XLOOKUP(RiskStatements[[#This Row],[Exposure Present Header]],Final_VEValues[#Headers],Final_VEValues[]))</f>
        <v>L</v>
      </c>
      <c r="J10" s="22" t="str" cm="1">
        <f t="array" ref="J10">_xlfn.XLOOKUP(RiskStatements[[#This Row],[Elements at Risk]],Final_VEValues[Elements at Risk],_xlfn.XLOOKUP(RiskStatements[[#This Row],[Exposure 2050 Header]],Final_VEValues[#Headers],Final_VEValues[]))</f>
        <v>M</v>
      </c>
      <c r="K10" s="22" t="str" cm="1">
        <f t="array" ref="K10">_xlfn.XLOOKUP(RiskStatements[[#This Row],[Elements at Risk]],Final_VEValues[Elements at Risk],_xlfn.XLOOKUP(RiskStatements[[#This Row],[Exposure 2100 Header]],Final_VEValues[#Headers],Final_VEValues[]))</f>
        <v>E</v>
      </c>
      <c r="L10" s="22" t="str">
        <f>_xlfn.CONCAT(RiskStatements[[#This Row],[Climate Variables/Explainers]]," risk to ",RiskStatements[[#This Row],[Elements at Risk]])</f>
        <v>Coastal Inundation risk to Wastewater Infrastructure</v>
      </c>
      <c r="M10" s="22" t="str" cm="1">
        <f t="array" ref="M10">_xlfn.XLOOKUP(RiskStatements[[#This Row],[Vulnerability Rating]],VEMatrix[Vulnerability],_xlfn.XLOOKUP(RiskStatements[[#This Row],[Exposure Rating - Present]],VEMatrix[#Headers],VEMatrix[]))</f>
        <v>Low</v>
      </c>
      <c r="N10" s="22" t="str" cm="1">
        <f t="array" ref="N10">_xlfn.XLOOKUP(RiskStatements[[#This Row],[Vulnerability Rating]],VEMatrix[Vulnerability],_xlfn.XLOOKUP(RiskStatements[[#This Row],[Exposure Rating - 2050]],VEMatrix[#Headers],VEMatrix[]))</f>
        <v>Moderate</v>
      </c>
      <c r="O10" s="22" t="str" cm="1">
        <f t="array" ref="O10">_xlfn.XLOOKUP(RiskStatements[[#This Row],[Vulnerability Rating]],VEMatrix[Vulnerability],_xlfn.XLOOKUP(RiskStatements[[#This Row],[Exposure Rating - 2100]],VEMatrix[#Headers],VEMatrix[]))</f>
        <v>Extreme</v>
      </c>
      <c r="P10" s="22">
        <f>_xlfn.XLOOKUP(RiskStatements[[#This Row],[Risk Rating - Present]],RatingOrder[Rating Order],RatingOrder[Rating Score],0,0)</f>
        <v>1</v>
      </c>
      <c r="Q10" s="22">
        <f>_xlfn.XLOOKUP(RiskStatements[[#This Row],[Risk Rating - 2050]],RatingOrder[Rating Order],RatingOrder[Rating Score],0,0)</f>
        <v>2</v>
      </c>
      <c r="R10" s="22">
        <f>_xlfn.XLOOKUP(RiskStatements[[#This Row],[Risk Rating - 2100]],RatingOrder[Rating Order],RatingOrder[Rating Score],0,0)</f>
        <v>4</v>
      </c>
      <c r="S1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1" spans="1:19" hidden="1" x14ac:dyDescent="0.35">
      <c r="A11" s="22" t="s">
        <v>120</v>
      </c>
      <c r="B11" s="22" t="s">
        <v>223</v>
      </c>
      <c r="C11" s="22" t="s">
        <v>133</v>
      </c>
      <c r="D11" s="22" t="str">
        <f>"V - " &amp;RiskStatements[[#This Row],[Climate Variables/Explainers]]</f>
        <v>V - Coastal Inundation</v>
      </c>
      <c r="E11" s="22" t="str">
        <f>"EP - " &amp;RiskStatements[[#This Row],[Climate Variables/Explainers]]</f>
        <v>EP - Coastal Inundation</v>
      </c>
      <c r="F11" s="22" t="str">
        <f>"E2050 - " &amp;RiskStatements[[#This Row],[Climate Variables/Explainers]]</f>
        <v>E2050 - Coastal Inundation</v>
      </c>
      <c r="G11" s="22" t="str">
        <f>"E2100 - " &amp;RiskStatements[[#This Row],[Climate Variables/Explainers]]</f>
        <v>E2100 - Coastal Inundation</v>
      </c>
      <c r="H11" s="22" t="str" cm="1">
        <f t="array" ref="H11">_xlfn.XLOOKUP(RiskStatements[[#This Row],[Elements at Risk]],Final_VEValues[Elements at Risk],_xlfn.XLOOKUP(RiskStatements[[#This Row],[Vulnerability Header]],Final_VEValues[#Headers],Final_VEValues[]))</f>
        <v>H</v>
      </c>
      <c r="I11" s="22" t="str" cm="1">
        <f t="array" ref="I11">_xlfn.XLOOKUP(RiskStatements[[#This Row],[Elements at Risk]],Final_VEValues[Elements at Risk],_xlfn.XLOOKUP(RiskStatements[[#This Row],[Exposure Present Header]],Final_VEValues[#Headers],Final_VEValues[]))</f>
        <v>L</v>
      </c>
      <c r="J11" s="22" t="str" cm="1">
        <f t="array" ref="J11">_xlfn.XLOOKUP(RiskStatements[[#This Row],[Elements at Risk]],Final_VEValues[Elements at Risk],_xlfn.XLOOKUP(RiskStatements[[#This Row],[Exposure 2050 Header]],Final_VEValues[#Headers],Final_VEValues[]))</f>
        <v>H</v>
      </c>
      <c r="K11" s="22" t="str" cm="1">
        <f t="array" ref="K11">_xlfn.XLOOKUP(RiskStatements[[#This Row],[Elements at Risk]],Final_VEValues[Elements at Risk],_xlfn.XLOOKUP(RiskStatements[[#This Row],[Exposure 2100 Header]],Final_VEValues[#Headers],Final_VEValues[]))</f>
        <v>E</v>
      </c>
      <c r="L11" s="22" t="str">
        <f>_xlfn.CONCAT(RiskStatements[[#This Row],[Climate Variables/Explainers]]," risk to ",RiskStatements[[#This Row],[Elements at Risk]])</f>
        <v>Coastal Inundation risk to Transportation Assets</v>
      </c>
      <c r="M11" s="22" t="str" cm="1">
        <f t="array" ref="M11">_xlfn.XLOOKUP(RiskStatements[[#This Row],[Vulnerability Rating]],VEMatrix[Vulnerability],_xlfn.XLOOKUP(RiskStatements[[#This Row],[Exposure Rating - Present]],VEMatrix[#Headers],VEMatrix[]))</f>
        <v>Low</v>
      </c>
      <c r="N11" s="22" t="str" cm="1">
        <f t="array" ref="N11">_xlfn.XLOOKUP(RiskStatements[[#This Row],[Vulnerability Rating]],VEMatrix[Vulnerability],_xlfn.XLOOKUP(RiskStatements[[#This Row],[Exposure Rating - 2050]],VEMatrix[#Headers],VEMatrix[]))</f>
        <v>High</v>
      </c>
      <c r="O11" s="22" t="str" cm="1">
        <f t="array" ref="O11">_xlfn.XLOOKUP(RiskStatements[[#This Row],[Vulnerability Rating]],VEMatrix[Vulnerability],_xlfn.XLOOKUP(RiskStatements[[#This Row],[Exposure Rating - 2100]],VEMatrix[#Headers],VEMatrix[]))</f>
        <v>Extreme</v>
      </c>
      <c r="P11" s="22">
        <f>_xlfn.XLOOKUP(RiskStatements[[#This Row],[Risk Rating - Present]],RatingOrder[Rating Order],RatingOrder[Rating Score],0,0)</f>
        <v>1</v>
      </c>
      <c r="Q11" s="22">
        <f>_xlfn.XLOOKUP(RiskStatements[[#This Row],[Risk Rating - 2050]],RatingOrder[Rating Order],RatingOrder[Rating Score],0,0)</f>
        <v>3</v>
      </c>
      <c r="R11" s="22">
        <f>_xlfn.XLOOKUP(RiskStatements[[#This Row],[Risk Rating - 2100]],RatingOrder[Rating Order],RatingOrder[Rating Score],0,0)</f>
        <v>4</v>
      </c>
      <c r="S1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2" spans="1:19" hidden="1" x14ac:dyDescent="0.35">
      <c r="A12" s="22" t="s">
        <v>120</v>
      </c>
      <c r="B12" s="22" t="s">
        <v>122</v>
      </c>
      <c r="C12" s="22" t="s">
        <v>133</v>
      </c>
      <c r="D12" s="22" t="str">
        <f>"V - " &amp;RiskStatements[[#This Row],[Climate Variables/Explainers]]</f>
        <v>V - Coastal Inundation</v>
      </c>
      <c r="E12" s="22" t="str">
        <f>"EP - " &amp;RiskStatements[[#This Row],[Climate Variables/Explainers]]</f>
        <v>EP - Coastal Inundation</v>
      </c>
      <c r="F12" s="22" t="str">
        <f>"E2050 - " &amp;RiskStatements[[#This Row],[Climate Variables/Explainers]]</f>
        <v>E2050 - Coastal Inundation</v>
      </c>
      <c r="G12" s="22" t="str">
        <f>"E2100 - " &amp;RiskStatements[[#This Row],[Climate Variables/Explainers]]</f>
        <v>E2100 - Coastal Inundation</v>
      </c>
      <c r="H12" s="22" t="str" cm="1">
        <f t="array" ref="H12">_xlfn.XLOOKUP(RiskStatements[[#This Row],[Elements at Risk]],Final_VEValues[Elements at Risk],_xlfn.XLOOKUP(RiskStatements[[#This Row],[Vulnerability Header]],Final_VEValues[#Headers],Final_VEValues[]))</f>
        <v>L</v>
      </c>
      <c r="I12" s="22" t="str" cm="1">
        <f t="array" ref="I12">_xlfn.XLOOKUP(RiskStatements[[#This Row],[Elements at Risk]],Final_VEValues[Elements at Risk],_xlfn.XLOOKUP(RiskStatements[[#This Row],[Exposure Present Header]],Final_VEValues[#Headers],Final_VEValues[]))</f>
        <v>L</v>
      </c>
      <c r="J12" s="22" t="str" cm="1">
        <f t="array" ref="J12">_xlfn.XLOOKUP(RiskStatements[[#This Row],[Elements at Risk]],Final_VEValues[Elements at Risk],_xlfn.XLOOKUP(RiskStatements[[#This Row],[Exposure 2050 Header]],Final_VEValues[#Headers],Final_VEValues[]))</f>
        <v>M</v>
      </c>
      <c r="K12" s="22" t="str" cm="1">
        <f t="array" ref="K12">_xlfn.XLOOKUP(RiskStatements[[#This Row],[Elements at Risk]],Final_VEValues[Elements at Risk],_xlfn.XLOOKUP(RiskStatements[[#This Row],[Exposure 2100 Header]],Final_VEValues[#Headers],Final_VEValues[]))</f>
        <v>H</v>
      </c>
      <c r="L12" s="22" t="str">
        <f>_xlfn.CONCAT(RiskStatements[[#This Row],[Climate Variables/Explainers]]," risk to ",RiskStatements[[#This Row],[Elements at Risk]])</f>
        <v>Coastal Inundation risk to Water Supply</v>
      </c>
      <c r="M12" s="22" t="str" cm="1">
        <f t="array" ref="M12">_xlfn.XLOOKUP(RiskStatements[[#This Row],[Vulnerability Rating]],VEMatrix[Vulnerability],_xlfn.XLOOKUP(RiskStatements[[#This Row],[Exposure Rating - Present]],VEMatrix[#Headers],VEMatrix[]))</f>
        <v>Low</v>
      </c>
      <c r="N12" s="22" t="str" cm="1">
        <f t="array" ref="N12">_xlfn.XLOOKUP(RiskStatements[[#This Row],[Vulnerability Rating]],VEMatrix[Vulnerability],_xlfn.XLOOKUP(RiskStatements[[#This Row],[Exposure Rating - 2050]],VEMatrix[#Headers],VEMatrix[]))</f>
        <v>Low</v>
      </c>
      <c r="O12" s="22" t="str" cm="1">
        <f t="array" ref="O12">_xlfn.XLOOKUP(RiskStatements[[#This Row],[Vulnerability Rating]],VEMatrix[Vulnerability],_xlfn.XLOOKUP(RiskStatements[[#This Row],[Exposure Rating - 2100]],VEMatrix[#Headers],VEMatrix[]))</f>
        <v>Moderate</v>
      </c>
      <c r="P12" s="22">
        <f>_xlfn.XLOOKUP(RiskStatements[[#This Row],[Risk Rating - Present]],RatingOrder[Rating Order],RatingOrder[Rating Score],0,0)</f>
        <v>1</v>
      </c>
      <c r="Q12" s="22">
        <f>_xlfn.XLOOKUP(RiskStatements[[#This Row],[Risk Rating - 2050]],RatingOrder[Rating Order],RatingOrder[Rating Score],0,0)</f>
        <v>1</v>
      </c>
      <c r="R12" s="22">
        <f>_xlfn.XLOOKUP(RiskStatements[[#This Row],[Risk Rating - 2100]],RatingOrder[Rating Order],RatingOrder[Rating Score],0,0)</f>
        <v>2</v>
      </c>
      <c r="S1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3" spans="1:19" hidden="1" x14ac:dyDescent="0.35">
      <c r="A13" s="22" t="s">
        <v>120</v>
      </c>
      <c r="B13" s="22" t="s">
        <v>224</v>
      </c>
      <c r="C13" s="22" t="s">
        <v>133</v>
      </c>
      <c r="D13" s="22" t="str">
        <f>"V - " &amp;RiskStatements[[#This Row],[Climate Variables/Explainers]]</f>
        <v>V - Coastal Inundation</v>
      </c>
      <c r="E13" s="22" t="str">
        <f>"EP - " &amp;RiskStatements[[#This Row],[Climate Variables/Explainers]]</f>
        <v>EP - Coastal Inundation</v>
      </c>
      <c r="F13" s="22" t="str">
        <f>"E2050 - " &amp;RiskStatements[[#This Row],[Climate Variables/Explainers]]</f>
        <v>E2050 - Coastal Inundation</v>
      </c>
      <c r="G13" s="22" t="str">
        <f>"E2100 - " &amp;RiskStatements[[#This Row],[Climate Variables/Explainers]]</f>
        <v>E2100 - Coastal Inundation</v>
      </c>
      <c r="H13" s="22" t="str" cm="1">
        <f t="array" ref="H13">_xlfn.XLOOKUP(RiskStatements[[#This Row],[Elements at Risk]],Final_VEValues[Elements at Risk],_xlfn.XLOOKUP(RiskStatements[[#This Row],[Vulnerability Header]],Final_VEValues[#Headers],Final_VEValues[]))</f>
        <v>M</v>
      </c>
      <c r="I13" s="22" t="str" cm="1">
        <f t="array" ref="I13">_xlfn.XLOOKUP(RiskStatements[[#This Row],[Elements at Risk]],Final_VEValues[Elements at Risk],_xlfn.XLOOKUP(RiskStatements[[#This Row],[Exposure Present Header]],Final_VEValues[#Headers],Final_VEValues[]))</f>
        <v>M</v>
      </c>
      <c r="J13" s="22" t="str" cm="1">
        <f t="array" ref="J13">_xlfn.XLOOKUP(RiskStatements[[#This Row],[Elements at Risk]],Final_VEValues[Elements at Risk],_xlfn.XLOOKUP(RiskStatements[[#This Row],[Exposure 2050 Header]],Final_VEValues[#Headers],Final_VEValues[]))</f>
        <v>H</v>
      </c>
      <c r="K13" s="22" t="str" cm="1">
        <f t="array" ref="K13">_xlfn.XLOOKUP(RiskStatements[[#This Row],[Elements at Risk]],Final_VEValues[Elements at Risk],_xlfn.XLOOKUP(RiskStatements[[#This Row],[Exposure 2100 Header]],Final_VEValues[#Headers],Final_VEValues[]))</f>
        <v>E</v>
      </c>
      <c r="L13" s="22" t="str">
        <f>_xlfn.CONCAT(RiskStatements[[#This Row],[Climate Variables/Explainers]]," risk to ",RiskStatements[[#This Row],[Elements at Risk]])</f>
        <v>Coastal Inundation risk to Stormwater / Flood Management</v>
      </c>
      <c r="M13" s="22" t="str" cm="1">
        <f t="array" ref="M13">_xlfn.XLOOKUP(RiskStatements[[#This Row],[Vulnerability Rating]],VEMatrix[Vulnerability],_xlfn.XLOOKUP(RiskStatements[[#This Row],[Exposure Rating - Present]],VEMatrix[#Headers],VEMatrix[]))</f>
        <v>Moderate</v>
      </c>
      <c r="N13" s="22" t="str" cm="1">
        <f t="array" ref="N13">_xlfn.XLOOKUP(RiskStatements[[#This Row],[Vulnerability Rating]],VEMatrix[Vulnerability],_xlfn.XLOOKUP(RiskStatements[[#This Row],[Exposure Rating - 2050]],VEMatrix[#Headers],VEMatrix[]))</f>
        <v>Moderate</v>
      </c>
      <c r="O13" s="22" t="str" cm="1">
        <f t="array" ref="O13">_xlfn.XLOOKUP(RiskStatements[[#This Row],[Vulnerability Rating]],VEMatrix[Vulnerability],_xlfn.XLOOKUP(RiskStatements[[#This Row],[Exposure Rating - 2100]],VEMatrix[#Headers],VEMatrix[]))</f>
        <v>High</v>
      </c>
      <c r="P13" s="22">
        <f>_xlfn.XLOOKUP(RiskStatements[[#This Row],[Risk Rating - Present]],RatingOrder[Rating Order],RatingOrder[Rating Score],0,0)</f>
        <v>2</v>
      </c>
      <c r="Q13" s="22">
        <f>_xlfn.XLOOKUP(RiskStatements[[#This Row],[Risk Rating - 2050]],RatingOrder[Rating Order],RatingOrder[Rating Score],0,0)</f>
        <v>2</v>
      </c>
      <c r="R13" s="22">
        <f>_xlfn.XLOOKUP(RiskStatements[[#This Row],[Risk Rating - 2100]],RatingOrder[Rating Order],RatingOrder[Rating Score],0,0)</f>
        <v>3</v>
      </c>
      <c r="S1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4" spans="1:19" hidden="1" x14ac:dyDescent="0.35">
      <c r="A14" s="22" t="s">
        <v>120</v>
      </c>
      <c r="B14" s="22" t="s">
        <v>212</v>
      </c>
      <c r="C14" s="22" t="s">
        <v>133</v>
      </c>
      <c r="D14" s="22" t="str">
        <f>"V - " &amp;RiskStatements[[#This Row],[Climate Variables/Explainers]]</f>
        <v>V - Coastal Inundation</v>
      </c>
      <c r="E14" s="22" t="str">
        <f>"EP - " &amp;RiskStatements[[#This Row],[Climate Variables/Explainers]]</f>
        <v>EP - Coastal Inundation</v>
      </c>
      <c r="F14" s="22" t="str">
        <f>"E2050 - " &amp;RiskStatements[[#This Row],[Climate Variables/Explainers]]</f>
        <v>E2050 - Coastal Inundation</v>
      </c>
      <c r="G14" s="22" t="str">
        <f>"E2100 - " &amp;RiskStatements[[#This Row],[Climate Variables/Explainers]]</f>
        <v>E2100 - Coastal Inundation</v>
      </c>
      <c r="H14" s="22" t="str" cm="1">
        <f t="array" ref="H14">_xlfn.XLOOKUP(RiskStatements[[#This Row],[Elements at Risk]],Final_VEValues[Elements at Risk],_xlfn.XLOOKUP(RiskStatements[[#This Row],[Vulnerability Header]],Final_VEValues[#Headers],Final_VEValues[]))</f>
        <v>H</v>
      </c>
      <c r="I14" s="22" t="str" cm="1">
        <f t="array" ref="I14">_xlfn.XLOOKUP(RiskStatements[[#This Row],[Elements at Risk]],Final_VEValues[Elements at Risk],_xlfn.XLOOKUP(RiskStatements[[#This Row],[Exposure Present Header]],Final_VEValues[#Headers],Final_VEValues[]))</f>
        <v>M</v>
      </c>
      <c r="J14" s="22" t="str" cm="1">
        <f t="array" ref="J14">_xlfn.XLOOKUP(RiskStatements[[#This Row],[Elements at Risk]],Final_VEValues[Elements at Risk],_xlfn.XLOOKUP(RiskStatements[[#This Row],[Exposure 2050 Header]],Final_VEValues[#Headers],Final_VEValues[]))</f>
        <v>H</v>
      </c>
      <c r="K14" s="22" t="str" cm="1">
        <f t="array" ref="K14">_xlfn.XLOOKUP(RiskStatements[[#This Row],[Elements at Risk]],Final_VEValues[Elements at Risk],_xlfn.XLOOKUP(RiskStatements[[#This Row],[Exposure 2100 Header]],Final_VEValues[#Headers],Final_VEValues[]))</f>
        <v>E</v>
      </c>
      <c r="L14" s="22" t="str">
        <f>_xlfn.CONCAT(RiskStatements[[#This Row],[Climate Variables/Explainers]]," risk to ",RiskStatements[[#This Row],[Elements at Risk]])</f>
        <v>Coastal Inundation risk to Uninhabited Buildings</v>
      </c>
      <c r="M14" s="22" t="str" cm="1">
        <f t="array" ref="M14">_xlfn.XLOOKUP(RiskStatements[[#This Row],[Vulnerability Rating]],VEMatrix[Vulnerability],_xlfn.XLOOKUP(RiskStatements[[#This Row],[Exposure Rating - Present]],VEMatrix[#Headers],VEMatrix[]))</f>
        <v>Moderate</v>
      </c>
      <c r="N14" s="22" t="str" cm="1">
        <f t="array" ref="N14">_xlfn.XLOOKUP(RiskStatements[[#This Row],[Vulnerability Rating]],VEMatrix[Vulnerability],_xlfn.XLOOKUP(RiskStatements[[#This Row],[Exposure Rating - 2050]],VEMatrix[#Headers],VEMatrix[]))</f>
        <v>High</v>
      </c>
      <c r="O14" s="22" t="str" cm="1">
        <f t="array" ref="O14">_xlfn.XLOOKUP(RiskStatements[[#This Row],[Vulnerability Rating]],VEMatrix[Vulnerability],_xlfn.XLOOKUP(RiskStatements[[#This Row],[Exposure Rating - 2100]],VEMatrix[#Headers],VEMatrix[]))</f>
        <v>Extreme</v>
      </c>
      <c r="P14" s="22">
        <f>_xlfn.XLOOKUP(RiskStatements[[#This Row],[Risk Rating - Present]],RatingOrder[Rating Order],RatingOrder[Rating Score],0,0)</f>
        <v>2</v>
      </c>
      <c r="Q14" s="22">
        <f>_xlfn.XLOOKUP(RiskStatements[[#This Row],[Risk Rating - 2050]],RatingOrder[Rating Order],RatingOrder[Rating Score],0,0)</f>
        <v>3</v>
      </c>
      <c r="R14" s="22">
        <f>_xlfn.XLOOKUP(RiskStatements[[#This Row],[Risk Rating - 2100]],RatingOrder[Rating Order],RatingOrder[Rating Score],0,0)</f>
        <v>4</v>
      </c>
      <c r="S1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5" spans="1:19" hidden="1" x14ac:dyDescent="0.35">
      <c r="A15" s="22" t="s">
        <v>120</v>
      </c>
      <c r="B15" s="22" t="s">
        <v>74</v>
      </c>
      <c r="C15" s="22" t="s">
        <v>133</v>
      </c>
      <c r="D15" s="22" t="str">
        <f>"V - " &amp;RiskStatements[[#This Row],[Climate Variables/Explainers]]</f>
        <v>V - Coastal Inundation</v>
      </c>
      <c r="E15" s="22" t="str">
        <f>"EP - " &amp;RiskStatements[[#This Row],[Climate Variables/Explainers]]</f>
        <v>EP - Coastal Inundation</v>
      </c>
      <c r="F15" s="22" t="str">
        <f>"E2050 - " &amp;RiskStatements[[#This Row],[Climate Variables/Explainers]]</f>
        <v>E2050 - Coastal Inundation</v>
      </c>
      <c r="G15" s="22" t="str">
        <f>"E2100 - " &amp;RiskStatements[[#This Row],[Climate Variables/Explainers]]</f>
        <v>E2100 - Coastal Inundation</v>
      </c>
      <c r="H15" s="22" t="str" cm="1">
        <f t="array" ref="H15">_xlfn.XLOOKUP(RiskStatements[[#This Row],[Elements at Risk]],Final_VEValues[Elements at Risk],_xlfn.XLOOKUP(RiskStatements[[#This Row],[Vulnerability Header]],Final_VEValues[#Headers],Final_VEValues[]))</f>
        <v>M</v>
      </c>
      <c r="I15" s="22" t="str" cm="1">
        <f t="array" ref="I15">_xlfn.XLOOKUP(RiskStatements[[#This Row],[Elements at Risk]],Final_VEValues[Elements at Risk],_xlfn.XLOOKUP(RiskStatements[[#This Row],[Exposure Present Header]],Final_VEValues[#Headers],Final_VEValues[]))</f>
        <v>L</v>
      </c>
      <c r="J15" s="22" t="str" cm="1">
        <f t="array" ref="J15">_xlfn.XLOOKUP(RiskStatements[[#This Row],[Elements at Risk]],Final_VEValues[Elements at Risk],_xlfn.XLOOKUP(RiskStatements[[#This Row],[Exposure 2050 Header]],Final_VEValues[#Headers],Final_VEValues[]))</f>
        <v>M</v>
      </c>
      <c r="K15" s="22" t="str" cm="1">
        <f t="array" ref="K15">_xlfn.XLOOKUP(RiskStatements[[#This Row],[Elements at Risk]],Final_VEValues[Elements at Risk],_xlfn.XLOOKUP(RiskStatements[[#This Row],[Exposure 2100 Header]],Final_VEValues[#Headers],Final_VEValues[]))</f>
        <v>H</v>
      </c>
      <c r="L15" s="22" t="str">
        <f>_xlfn.CONCAT(RiskStatements[[#This Row],[Climate Variables/Explainers]]," risk to ",RiskStatements[[#This Row],[Elements at Risk]])</f>
        <v>Coastal Inundation risk to Evacuation Structures</v>
      </c>
      <c r="M15" s="22" t="str" cm="1">
        <f t="array" ref="M15">_xlfn.XLOOKUP(RiskStatements[[#This Row],[Vulnerability Rating]],VEMatrix[Vulnerability],_xlfn.XLOOKUP(RiskStatements[[#This Row],[Exposure Rating - Present]],VEMatrix[#Headers],VEMatrix[]))</f>
        <v>Low</v>
      </c>
      <c r="N15" s="22" t="str" cm="1">
        <f t="array" ref="N15">_xlfn.XLOOKUP(RiskStatements[[#This Row],[Vulnerability Rating]],VEMatrix[Vulnerability],_xlfn.XLOOKUP(RiskStatements[[#This Row],[Exposure Rating - 2050]],VEMatrix[#Headers],VEMatrix[]))</f>
        <v>Moderate</v>
      </c>
      <c r="O15" s="22" t="str" cm="1">
        <f t="array" ref="O15">_xlfn.XLOOKUP(RiskStatements[[#This Row],[Vulnerability Rating]],VEMatrix[Vulnerability],_xlfn.XLOOKUP(RiskStatements[[#This Row],[Exposure Rating - 2100]],VEMatrix[#Headers],VEMatrix[]))</f>
        <v>Moderate</v>
      </c>
      <c r="P15" s="22">
        <f>_xlfn.XLOOKUP(RiskStatements[[#This Row],[Risk Rating - Present]],RatingOrder[Rating Order],RatingOrder[Rating Score],0,0)</f>
        <v>1</v>
      </c>
      <c r="Q15" s="22">
        <f>_xlfn.XLOOKUP(RiskStatements[[#This Row],[Risk Rating - 2050]],RatingOrder[Rating Order],RatingOrder[Rating Score],0,0)</f>
        <v>2</v>
      </c>
      <c r="R15" s="22">
        <f>_xlfn.XLOOKUP(RiskStatements[[#This Row],[Risk Rating - 2100]],RatingOrder[Rating Order],RatingOrder[Rating Score],0,0)</f>
        <v>2</v>
      </c>
      <c r="S1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6" spans="1:19" hidden="1" x14ac:dyDescent="0.35">
      <c r="A16" s="22" t="s">
        <v>46</v>
      </c>
      <c r="B16" s="22" t="s">
        <v>227</v>
      </c>
      <c r="C16" s="22" t="s">
        <v>133</v>
      </c>
      <c r="D16" s="22" t="str">
        <f>"V - " &amp;RiskStatements[[#This Row],[Climate Variables/Explainers]]</f>
        <v>V - Coastal Inundation</v>
      </c>
      <c r="E16" s="22" t="str">
        <f>"EP - " &amp;RiskStatements[[#This Row],[Climate Variables/Explainers]]</f>
        <v>EP - Coastal Inundation</v>
      </c>
      <c r="F16" s="22" t="str">
        <f>"E2050 - " &amp;RiskStatements[[#This Row],[Climate Variables/Explainers]]</f>
        <v>E2050 - Coastal Inundation</v>
      </c>
      <c r="G16" s="22" t="str">
        <f>"E2100 - " &amp;RiskStatements[[#This Row],[Climate Variables/Explainers]]</f>
        <v>E2100 - Coastal Inundation</v>
      </c>
      <c r="H16" s="22" t="str" cm="1">
        <f t="array" ref="H16">_xlfn.XLOOKUP(RiskStatements[[#This Row],[Elements at Risk]],Final_VEValues[Elements at Risk],_xlfn.XLOOKUP(RiskStatements[[#This Row],[Vulnerability Header]],Final_VEValues[#Headers],Final_VEValues[]))</f>
        <v>M</v>
      </c>
      <c r="I16" s="22" t="str" cm="1">
        <f t="array" ref="I16">_xlfn.XLOOKUP(RiskStatements[[#This Row],[Elements at Risk]],Final_VEValues[Elements at Risk],_xlfn.XLOOKUP(RiskStatements[[#This Row],[Exposure Present Header]],Final_VEValues[#Headers],Final_VEValues[]))</f>
        <v>L</v>
      </c>
      <c r="J16" s="22" t="str" cm="1">
        <f t="array" ref="J16">_xlfn.XLOOKUP(RiskStatements[[#This Row],[Elements at Risk]],Final_VEValues[Elements at Risk],_xlfn.XLOOKUP(RiskStatements[[#This Row],[Exposure 2050 Header]],Final_VEValues[#Headers],Final_VEValues[]))</f>
        <v>L</v>
      </c>
      <c r="K16" s="22" t="str" cm="1">
        <f t="array" ref="K16">_xlfn.XLOOKUP(RiskStatements[[#This Row],[Elements at Risk]],Final_VEValues[Elements at Risk],_xlfn.XLOOKUP(RiskStatements[[#This Row],[Exposure 2100 Header]],Final_VEValues[#Headers],Final_VEValues[]))</f>
        <v>M</v>
      </c>
      <c r="L16" s="22" t="str">
        <f>_xlfn.CONCAT(RiskStatements[[#This Row],[Climate Variables/Explainers]]," risk to ",RiskStatements[[#This Row],[Elements at Risk]])</f>
        <v>Coastal Inundation risk to Outdoor Land Activities</v>
      </c>
      <c r="M16" s="22" t="str" cm="1">
        <f t="array" ref="M16">_xlfn.XLOOKUP(RiskStatements[[#This Row],[Vulnerability Rating]],VEMatrix[Vulnerability],_xlfn.XLOOKUP(RiskStatements[[#This Row],[Exposure Rating - Present]],VEMatrix[#Headers],VEMatrix[]))</f>
        <v>Low</v>
      </c>
      <c r="N16" s="22" t="str" cm="1">
        <f t="array" ref="N16">_xlfn.XLOOKUP(RiskStatements[[#This Row],[Vulnerability Rating]],VEMatrix[Vulnerability],_xlfn.XLOOKUP(RiskStatements[[#This Row],[Exposure Rating - 2050]],VEMatrix[#Headers],VEMatrix[]))</f>
        <v>Low</v>
      </c>
      <c r="O16" s="22" t="str" cm="1">
        <f t="array" ref="O16">_xlfn.XLOOKUP(RiskStatements[[#This Row],[Vulnerability Rating]],VEMatrix[Vulnerability],_xlfn.XLOOKUP(RiskStatements[[#This Row],[Exposure Rating - 2100]],VEMatrix[#Headers],VEMatrix[]))</f>
        <v>Moderate</v>
      </c>
      <c r="P16" s="22">
        <f>_xlfn.XLOOKUP(RiskStatements[[#This Row],[Risk Rating - Present]],RatingOrder[Rating Order],RatingOrder[Rating Score],0,0)</f>
        <v>1</v>
      </c>
      <c r="Q16" s="22">
        <f>_xlfn.XLOOKUP(RiskStatements[[#This Row],[Risk Rating - 2050]],RatingOrder[Rating Order],RatingOrder[Rating Score],0,0)</f>
        <v>1</v>
      </c>
      <c r="R16" s="22">
        <f>_xlfn.XLOOKUP(RiskStatements[[#This Row],[Risk Rating - 2100]],RatingOrder[Rating Order],RatingOrder[Rating Score],0,0)</f>
        <v>2</v>
      </c>
      <c r="S1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7" spans="1:19" hidden="1" x14ac:dyDescent="0.35">
      <c r="A17" s="22" t="s">
        <v>46</v>
      </c>
      <c r="B17" s="22" t="s">
        <v>226</v>
      </c>
      <c r="C17" s="22" t="s">
        <v>133</v>
      </c>
      <c r="D17" s="22" t="str">
        <f>"V - " &amp;RiskStatements[[#This Row],[Climate Variables/Explainers]]</f>
        <v>V - Coastal Inundation</v>
      </c>
      <c r="E17" s="22" t="str">
        <f>"EP - " &amp;RiskStatements[[#This Row],[Climate Variables/Explainers]]</f>
        <v>EP - Coastal Inundation</v>
      </c>
      <c r="F17" s="22" t="str">
        <f>"E2050 - " &amp;RiskStatements[[#This Row],[Climate Variables/Explainers]]</f>
        <v>E2050 - Coastal Inundation</v>
      </c>
      <c r="G17" s="22" t="str">
        <f>"E2100 - " &amp;RiskStatements[[#This Row],[Climate Variables/Explainers]]</f>
        <v>E2100 - Coastal Inundation</v>
      </c>
      <c r="H17" s="22" t="str" cm="1">
        <f t="array" ref="H17">_xlfn.XLOOKUP(RiskStatements[[#This Row],[Elements at Risk]],Final_VEValues[Elements at Risk],_xlfn.XLOOKUP(RiskStatements[[#This Row],[Vulnerability Header]],Final_VEValues[#Headers],Final_VEValues[]))</f>
        <v>H</v>
      </c>
      <c r="I17" s="22" t="str" cm="1">
        <f t="array" ref="I17">_xlfn.XLOOKUP(RiskStatements[[#This Row],[Elements at Risk]],Final_VEValues[Elements at Risk],_xlfn.XLOOKUP(RiskStatements[[#This Row],[Exposure Present Header]],Final_VEValues[#Headers],Final_VEValues[]))</f>
        <v>L</v>
      </c>
      <c r="J17" s="22" t="str" cm="1">
        <f t="array" ref="J17">_xlfn.XLOOKUP(RiskStatements[[#This Row],[Elements at Risk]],Final_VEValues[Elements at Risk],_xlfn.XLOOKUP(RiskStatements[[#This Row],[Exposure 2050 Header]],Final_VEValues[#Headers],Final_VEValues[]))</f>
        <v>L</v>
      </c>
      <c r="K17" s="22" t="str" cm="1">
        <f t="array" ref="K17">_xlfn.XLOOKUP(RiskStatements[[#This Row],[Elements at Risk]],Final_VEValues[Elements at Risk],_xlfn.XLOOKUP(RiskStatements[[#This Row],[Exposure 2100 Header]],Final_VEValues[#Headers],Final_VEValues[]))</f>
        <v>M</v>
      </c>
      <c r="L17" s="22" t="str">
        <f>_xlfn.CONCAT(RiskStatements[[#This Row],[Climate Variables/Explainers]]," risk to ",RiskStatements[[#This Row],[Elements at Risk]])</f>
        <v>Coastal Inundation risk to Outdoor Marine Activities</v>
      </c>
      <c r="M17" s="22" t="str" cm="1">
        <f t="array" ref="M17">_xlfn.XLOOKUP(RiskStatements[[#This Row],[Vulnerability Rating]],VEMatrix[Vulnerability],_xlfn.XLOOKUP(RiskStatements[[#This Row],[Exposure Rating - Present]],VEMatrix[#Headers],VEMatrix[]))</f>
        <v>Low</v>
      </c>
      <c r="N17" s="22" t="str" cm="1">
        <f t="array" ref="N17">_xlfn.XLOOKUP(RiskStatements[[#This Row],[Vulnerability Rating]],VEMatrix[Vulnerability],_xlfn.XLOOKUP(RiskStatements[[#This Row],[Exposure Rating - 2050]],VEMatrix[#Headers],VEMatrix[]))</f>
        <v>Low</v>
      </c>
      <c r="O17" s="22" t="str" cm="1">
        <f t="array" ref="O17">_xlfn.XLOOKUP(RiskStatements[[#This Row],[Vulnerability Rating]],VEMatrix[Vulnerability],_xlfn.XLOOKUP(RiskStatements[[#This Row],[Exposure Rating - 2100]],VEMatrix[#Headers],VEMatrix[]))</f>
        <v>Moderate</v>
      </c>
      <c r="P17" s="22">
        <f>_xlfn.XLOOKUP(RiskStatements[[#This Row],[Risk Rating - Present]],RatingOrder[Rating Order],RatingOrder[Rating Score],0,0)</f>
        <v>1</v>
      </c>
      <c r="Q17" s="22">
        <f>_xlfn.XLOOKUP(RiskStatements[[#This Row],[Risk Rating - 2050]],RatingOrder[Rating Order],RatingOrder[Rating Score],0,0)</f>
        <v>1</v>
      </c>
      <c r="R17" s="22">
        <f>_xlfn.XLOOKUP(RiskStatements[[#This Row],[Risk Rating - 2100]],RatingOrder[Rating Order],RatingOrder[Rating Score],0,0)</f>
        <v>2</v>
      </c>
      <c r="S1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8" spans="1:19" hidden="1" x14ac:dyDescent="0.35">
      <c r="A18" s="22" t="s">
        <v>46</v>
      </c>
      <c r="B18" s="22" t="s">
        <v>225</v>
      </c>
      <c r="C18" s="22" t="s">
        <v>133</v>
      </c>
      <c r="D18" s="22" t="str">
        <f>"V - " &amp;RiskStatements[[#This Row],[Climate Variables/Explainers]]</f>
        <v>V - Coastal Inundation</v>
      </c>
      <c r="E18" s="22" t="str">
        <f>"EP - " &amp;RiskStatements[[#This Row],[Climate Variables/Explainers]]</f>
        <v>EP - Coastal Inundation</v>
      </c>
      <c r="F18" s="22" t="str">
        <f>"E2050 - " &amp;RiskStatements[[#This Row],[Climate Variables/Explainers]]</f>
        <v>E2050 - Coastal Inundation</v>
      </c>
      <c r="G18" s="22" t="str">
        <f>"E2100 - " &amp;RiskStatements[[#This Row],[Climate Variables/Explainers]]</f>
        <v>E2100 - Coastal Inundation</v>
      </c>
      <c r="H18" s="22" t="str" cm="1">
        <f t="array" ref="H18">_xlfn.XLOOKUP(RiskStatements[[#This Row],[Elements at Risk]],Final_VEValues[Elements at Risk],_xlfn.XLOOKUP(RiskStatements[[#This Row],[Vulnerability Header]],Final_VEValues[#Headers],Final_VEValues[]))</f>
        <v>L</v>
      </c>
      <c r="I18" s="22" t="str" cm="1">
        <f t="array" ref="I18">_xlfn.XLOOKUP(RiskStatements[[#This Row],[Elements at Risk]],Final_VEValues[Elements at Risk],_xlfn.XLOOKUP(RiskStatements[[#This Row],[Exposure Present Header]],Final_VEValues[#Headers],Final_VEValues[]))</f>
        <v>L</v>
      </c>
      <c r="J18" s="22" t="str" cm="1">
        <f t="array" ref="J18">_xlfn.XLOOKUP(RiskStatements[[#This Row],[Elements at Risk]],Final_VEValues[Elements at Risk],_xlfn.XLOOKUP(RiskStatements[[#This Row],[Exposure 2050 Header]],Final_VEValues[#Headers],Final_VEValues[]))</f>
        <v>L</v>
      </c>
      <c r="K18" s="22" t="str" cm="1">
        <f t="array" ref="K18">_xlfn.XLOOKUP(RiskStatements[[#This Row],[Elements at Risk]],Final_VEValues[Elements at Risk],_xlfn.XLOOKUP(RiskStatements[[#This Row],[Exposure 2100 Header]],Final_VEValues[#Headers],Final_VEValues[]))</f>
        <v>H</v>
      </c>
      <c r="L18" s="22" t="str">
        <f>_xlfn.CONCAT(RiskStatements[[#This Row],[Climate Variables/Explainers]]," risk to ",RiskStatements[[#This Row],[Elements at Risk]])</f>
        <v>Coastal Inundation risk to Outdoor Freshwater Activities</v>
      </c>
      <c r="M18" s="22" t="str" cm="1">
        <f t="array" ref="M18">_xlfn.XLOOKUP(RiskStatements[[#This Row],[Vulnerability Rating]],VEMatrix[Vulnerability],_xlfn.XLOOKUP(RiskStatements[[#This Row],[Exposure Rating - Present]],VEMatrix[#Headers],VEMatrix[]))</f>
        <v>Low</v>
      </c>
      <c r="N18" s="22" t="str" cm="1">
        <f t="array" ref="N18">_xlfn.XLOOKUP(RiskStatements[[#This Row],[Vulnerability Rating]],VEMatrix[Vulnerability],_xlfn.XLOOKUP(RiskStatements[[#This Row],[Exposure Rating - 2050]],VEMatrix[#Headers],VEMatrix[]))</f>
        <v>Low</v>
      </c>
      <c r="O18" s="22" t="str" cm="1">
        <f t="array" ref="O18">_xlfn.XLOOKUP(RiskStatements[[#This Row],[Vulnerability Rating]],VEMatrix[Vulnerability],_xlfn.XLOOKUP(RiskStatements[[#This Row],[Exposure Rating - 2100]],VEMatrix[#Headers],VEMatrix[]))</f>
        <v>Moderate</v>
      </c>
      <c r="P18" s="22">
        <f>_xlfn.XLOOKUP(RiskStatements[[#This Row],[Risk Rating - Present]],RatingOrder[Rating Order],RatingOrder[Rating Score],0,0)</f>
        <v>1</v>
      </c>
      <c r="Q18" s="22">
        <f>_xlfn.XLOOKUP(RiskStatements[[#This Row],[Risk Rating - 2050]],RatingOrder[Rating Order],RatingOrder[Rating Score],0,0)</f>
        <v>1</v>
      </c>
      <c r="R18" s="22">
        <f>_xlfn.XLOOKUP(RiskStatements[[#This Row],[Risk Rating - 2100]],RatingOrder[Rating Order],RatingOrder[Rating Score],0,0)</f>
        <v>2</v>
      </c>
      <c r="S1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9" spans="1:19" hidden="1" x14ac:dyDescent="0.35">
      <c r="A19" s="22" t="s">
        <v>46</v>
      </c>
      <c r="B19" s="22" t="s">
        <v>79</v>
      </c>
      <c r="C19" s="22" t="s">
        <v>133</v>
      </c>
      <c r="D19" s="22" t="str">
        <f>"V - " &amp;RiskStatements[[#This Row],[Climate Variables/Explainers]]</f>
        <v>V - Coastal Inundation</v>
      </c>
      <c r="E19" s="22" t="str">
        <f>"EP - " &amp;RiskStatements[[#This Row],[Climate Variables/Explainers]]</f>
        <v>EP - Coastal Inundation</v>
      </c>
      <c r="F19" s="22" t="str">
        <f>"E2050 - " &amp;RiskStatements[[#This Row],[Climate Variables/Explainers]]</f>
        <v>E2050 - Coastal Inundation</v>
      </c>
      <c r="G19" s="22" t="str">
        <f>"E2100 - " &amp;RiskStatements[[#This Row],[Climate Variables/Explainers]]</f>
        <v>E2100 - Coastal Inundation</v>
      </c>
      <c r="H19" s="22" t="str" cm="1">
        <f t="array" ref="H19">_xlfn.XLOOKUP(RiskStatements[[#This Row],[Elements at Risk]],Final_VEValues[Elements at Risk],_xlfn.XLOOKUP(RiskStatements[[#This Row],[Vulnerability Header]],Final_VEValues[#Headers],Final_VEValues[]))</f>
        <v>H</v>
      </c>
      <c r="I19" s="22" t="str" cm="1">
        <f t="array" ref="I19">_xlfn.XLOOKUP(RiskStatements[[#This Row],[Elements at Risk]],Final_VEValues[Elements at Risk],_xlfn.XLOOKUP(RiskStatements[[#This Row],[Exposure Present Header]],Final_VEValues[#Headers],Final_VEValues[]))</f>
        <v>M</v>
      </c>
      <c r="J19" s="22" t="str" cm="1">
        <f t="array" ref="J19">_xlfn.XLOOKUP(RiskStatements[[#This Row],[Elements at Risk]],Final_VEValues[Elements at Risk],_xlfn.XLOOKUP(RiskStatements[[#This Row],[Exposure 2050 Header]],Final_VEValues[#Headers],Final_VEValues[]))</f>
        <v>H</v>
      </c>
      <c r="K19" s="22" t="str" cm="1">
        <f t="array" ref="K19">_xlfn.XLOOKUP(RiskStatements[[#This Row],[Elements at Risk]],Final_VEValues[Elements at Risk],_xlfn.XLOOKUP(RiskStatements[[#This Row],[Exposure 2100 Header]],Final_VEValues[#Headers],Final_VEValues[]))</f>
        <v>E</v>
      </c>
      <c r="L19" s="22" t="str">
        <f>_xlfn.CONCAT(RiskStatements[[#This Row],[Climate Variables/Explainers]]," risk to ",RiskStatements[[#This Row],[Elements at Risk]])</f>
        <v>Coastal Inundation risk to Outdoor Coastal Activities</v>
      </c>
      <c r="M19" s="22" t="str" cm="1">
        <f t="array" ref="M19">_xlfn.XLOOKUP(RiskStatements[[#This Row],[Vulnerability Rating]],VEMatrix[Vulnerability],_xlfn.XLOOKUP(RiskStatements[[#This Row],[Exposure Rating - Present]],VEMatrix[#Headers],VEMatrix[]))</f>
        <v>Moderate</v>
      </c>
      <c r="N19" s="22" t="str" cm="1">
        <f t="array" ref="N19">_xlfn.XLOOKUP(RiskStatements[[#This Row],[Vulnerability Rating]],VEMatrix[Vulnerability],_xlfn.XLOOKUP(RiskStatements[[#This Row],[Exposure Rating - 2050]],VEMatrix[#Headers],VEMatrix[]))</f>
        <v>High</v>
      </c>
      <c r="O19" s="22" t="str" cm="1">
        <f t="array" ref="O19">_xlfn.XLOOKUP(RiskStatements[[#This Row],[Vulnerability Rating]],VEMatrix[Vulnerability],_xlfn.XLOOKUP(RiskStatements[[#This Row],[Exposure Rating - 2100]],VEMatrix[#Headers],VEMatrix[]))</f>
        <v>Extreme</v>
      </c>
      <c r="P19" s="22">
        <f>_xlfn.XLOOKUP(RiskStatements[[#This Row],[Risk Rating - Present]],RatingOrder[Rating Order],RatingOrder[Rating Score],0,0)</f>
        <v>2</v>
      </c>
      <c r="Q19" s="22">
        <f>_xlfn.XLOOKUP(RiskStatements[[#This Row],[Risk Rating - 2050]],RatingOrder[Rating Order],RatingOrder[Rating Score],0,0)</f>
        <v>3</v>
      </c>
      <c r="R19" s="22">
        <f>_xlfn.XLOOKUP(RiskStatements[[#This Row],[Risk Rating - 2100]],RatingOrder[Rating Order],RatingOrder[Rating Score],0,0)</f>
        <v>4</v>
      </c>
      <c r="S1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20" spans="1:19" hidden="1" x14ac:dyDescent="0.35">
      <c r="A20" s="22" t="s">
        <v>46</v>
      </c>
      <c r="B20" s="175" t="s">
        <v>443</v>
      </c>
      <c r="C20" s="22" t="s">
        <v>133</v>
      </c>
      <c r="D20" s="22" t="str">
        <f>"V - " &amp;RiskStatements[[#This Row],[Climate Variables/Explainers]]</f>
        <v>V - Coastal Inundation</v>
      </c>
      <c r="E20" s="22" t="str">
        <f>"EP - " &amp;RiskStatements[[#This Row],[Climate Variables/Explainers]]</f>
        <v>EP - Coastal Inundation</v>
      </c>
      <c r="F20" s="22" t="str">
        <f>"E2050 - " &amp;RiskStatements[[#This Row],[Climate Variables/Explainers]]</f>
        <v>E2050 - Coastal Inundation</v>
      </c>
      <c r="G20" s="22" t="str">
        <f>"E2100 - " &amp;RiskStatements[[#This Row],[Climate Variables/Explainers]]</f>
        <v>E2100 - Coastal Inundation</v>
      </c>
      <c r="H20" s="22" t="str" cm="1">
        <f t="array" ref="H20">_xlfn.XLOOKUP(RiskStatements[[#This Row],[Elements at Risk]],Final_VEValues[Elements at Risk],_xlfn.XLOOKUP(RiskStatements[[#This Row],[Vulnerability Header]],Final_VEValues[#Headers],Final_VEValues[]))</f>
        <v>H</v>
      </c>
      <c r="I20" s="22" t="str" cm="1">
        <f t="array" ref="I20">_xlfn.XLOOKUP(RiskStatements[[#This Row],[Elements at Risk]],Final_VEValues[Elements at Risk],_xlfn.XLOOKUP(RiskStatements[[#This Row],[Exposure Present Header]],Final_VEValues[#Headers],Final_VEValues[]))</f>
        <v>M</v>
      </c>
      <c r="J20" s="22" t="str" cm="1">
        <f t="array" ref="J20">_xlfn.XLOOKUP(RiskStatements[[#This Row],[Elements at Risk]],Final_VEValues[Elements at Risk],_xlfn.XLOOKUP(RiskStatements[[#This Row],[Exposure 2050 Header]],Final_VEValues[#Headers],Final_VEValues[]))</f>
        <v>H</v>
      </c>
      <c r="K20" s="22" t="str" cm="1">
        <f t="array" ref="K20">_xlfn.XLOOKUP(RiskStatements[[#This Row],[Elements at Risk]],Final_VEValues[Elements at Risk],_xlfn.XLOOKUP(RiskStatements[[#This Row],[Exposure 2100 Header]],Final_VEValues[#Headers],Final_VEValues[]))</f>
        <v>H</v>
      </c>
      <c r="L20" s="22" t="str">
        <f>_xlfn.CONCAT(RiskStatements[[#This Row],[Climate Variables/Explainers]]," risk to ",RiskStatements[[#This Row],[Elements at Risk]])</f>
        <v>Coastal Inundation risk to Land Transportation Activities</v>
      </c>
      <c r="M20" s="22" t="str" cm="1">
        <f t="array" ref="M20">_xlfn.XLOOKUP(RiskStatements[[#This Row],[Vulnerability Rating]],VEMatrix[Vulnerability],_xlfn.XLOOKUP(RiskStatements[[#This Row],[Exposure Rating - Present]],VEMatrix[#Headers],VEMatrix[]))</f>
        <v>Moderate</v>
      </c>
      <c r="N20" s="22" t="str" cm="1">
        <f t="array" ref="N20">_xlfn.XLOOKUP(RiskStatements[[#This Row],[Vulnerability Rating]],VEMatrix[Vulnerability],_xlfn.XLOOKUP(RiskStatements[[#This Row],[Exposure Rating - 2050]],VEMatrix[#Headers],VEMatrix[]))</f>
        <v>High</v>
      </c>
      <c r="O20" s="22" t="str" cm="1">
        <f t="array" ref="O20">_xlfn.XLOOKUP(RiskStatements[[#This Row],[Vulnerability Rating]],VEMatrix[Vulnerability],_xlfn.XLOOKUP(RiskStatements[[#This Row],[Exposure Rating - 2100]],VEMatrix[#Headers],VEMatrix[]))</f>
        <v>High</v>
      </c>
      <c r="P20" s="22">
        <f>_xlfn.XLOOKUP(RiskStatements[[#This Row],[Risk Rating - Present]],RatingOrder[Rating Order],RatingOrder[Rating Score],0,0)</f>
        <v>2</v>
      </c>
      <c r="Q20" s="22">
        <f>_xlfn.XLOOKUP(RiskStatements[[#This Row],[Risk Rating - 2050]],RatingOrder[Rating Order],RatingOrder[Rating Score],0,0)</f>
        <v>3</v>
      </c>
      <c r="R20" s="22">
        <f>_xlfn.XLOOKUP(RiskStatements[[#This Row],[Risk Rating - 2100]],RatingOrder[Rating Order],RatingOrder[Rating Score],0,0)</f>
        <v>3</v>
      </c>
      <c r="S2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21" spans="1:19" hidden="1" x14ac:dyDescent="0.35">
      <c r="A21" s="22" t="s">
        <v>46</v>
      </c>
      <c r="B21" s="22" t="s">
        <v>222</v>
      </c>
      <c r="C21" s="22" t="s">
        <v>133</v>
      </c>
      <c r="D21" s="22" t="str">
        <f>"V - " &amp;RiskStatements[[#This Row],[Climate Variables/Explainers]]</f>
        <v>V - Coastal Inundation</v>
      </c>
      <c r="E21" s="22" t="str">
        <f>"EP - " &amp;RiskStatements[[#This Row],[Climate Variables/Explainers]]</f>
        <v>EP - Coastal Inundation</v>
      </c>
      <c r="F21" s="22" t="str">
        <f>"E2050 - " &amp;RiskStatements[[#This Row],[Climate Variables/Explainers]]</f>
        <v>E2050 - Coastal Inundation</v>
      </c>
      <c r="G21" s="22" t="str">
        <f>"E2100 - " &amp;RiskStatements[[#This Row],[Climate Variables/Explainers]]</f>
        <v>E2100 - Coastal Inundation</v>
      </c>
      <c r="H21" s="22" t="str" cm="1">
        <f t="array" ref="H21">_xlfn.XLOOKUP(RiskStatements[[#This Row],[Elements at Risk]],Final_VEValues[Elements at Risk],_xlfn.XLOOKUP(RiskStatements[[#This Row],[Vulnerability Header]],Final_VEValues[#Headers],Final_VEValues[]))</f>
        <v>L</v>
      </c>
      <c r="I21" s="22" t="str" cm="1">
        <f t="array" ref="I21">_xlfn.XLOOKUP(RiskStatements[[#This Row],[Elements at Risk]],Final_VEValues[Elements at Risk],_xlfn.XLOOKUP(RiskStatements[[#This Row],[Exposure Present Header]],Final_VEValues[#Headers],Final_VEValues[]))</f>
        <v>M</v>
      </c>
      <c r="J21" s="22" t="str" cm="1">
        <f t="array" ref="J21">_xlfn.XLOOKUP(RiskStatements[[#This Row],[Elements at Risk]],Final_VEValues[Elements at Risk],_xlfn.XLOOKUP(RiskStatements[[#This Row],[Exposure 2050 Header]],Final_VEValues[#Headers],Final_VEValues[]))</f>
        <v>M</v>
      </c>
      <c r="K21" s="22" t="str" cm="1">
        <f t="array" ref="K21">_xlfn.XLOOKUP(RiskStatements[[#This Row],[Elements at Risk]],Final_VEValues[Elements at Risk],_xlfn.XLOOKUP(RiskStatements[[#This Row],[Exposure 2100 Header]],Final_VEValues[#Headers],Final_VEValues[]))</f>
        <v>M</v>
      </c>
      <c r="L21" s="22" t="str">
        <f>_xlfn.CONCAT(RiskStatements[[#This Row],[Climate Variables/Explainers]]," risk to ",RiskStatements[[#This Row],[Elements at Risk]])</f>
        <v>Coastal Inundation risk to Water Transportation Activities</v>
      </c>
      <c r="M21" s="22" t="str" cm="1">
        <f t="array" ref="M21">_xlfn.XLOOKUP(RiskStatements[[#This Row],[Vulnerability Rating]],VEMatrix[Vulnerability],_xlfn.XLOOKUP(RiskStatements[[#This Row],[Exposure Rating - Present]],VEMatrix[#Headers],VEMatrix[]))</f>
        <v>Low</v>
      </c>
      <c r="N21" s="22" t="str" cm="1">
        <f t="array" ref="N21">_xlfn.XLOOKUP(RiskStatements[[#This Row],[Vulnerability Rating]],VEMatrix[Vulnerability],_xlfn.XLOOKUP(RiskStatements[[#This Row],[Exposure Rating - 2050]],VEMatrix[#Headers],VEMatrix[]))</f>
        <v>Low</v>
      </c>
      <c r="O21" s="22" t="str" cm="1">
        <f t="array" ref="O21">_xlfn.XLOOKUP(RiskStatements[[#This Row],[Vulnerability Rating]],VEMatrix[Vulnerability],_xlfn.XLOOKUP(RiskStatements[[#This Row],[Exposure Rating - 2100]],VEMatrix[#Headers],VEMatrix[]))</f>
        <v>Low</v>
      </c>
      <c r="P21" s="22">
        <f>_xlfn.XLOOKUP(RiskStatements[[#This Row],[Risk Rating - Present]],RatingOrder[Rating Order],RatingOrder[Rating Score],0,0)</f>
        <v>1</v>
      </c>
      <c r="Q21" s="22">
        <f>_xlfn.XLOOKUP(RiskStatements[[#This Row],[Risk Rating - 2050]],RatingOrder[Rating Order],RatingOrder[Rating Score],0,0)</f>
        <v>1</v>
      </c>
      <c r="R21" s="22">
        <f>_xlfn.XLOOKUP(RiskStatements[[#This Row],[Risk Rating - 2100]],RatingOrder[Rating Order],RatingOrder[Rating Score],0,0)</f>
        <v>1</v>
      </c>
      <c r="S2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22" spans="1:19" hidden="1" x14ac:dyDescent="0.35">
      <c r="A22" s="22" t="s">
        <v>46</v>
      </c>
      <c r="B22" s="22" t="s">
        <v>221</v>
      </c>
      <c r="C22" s="22" t="s">
        <v>133</v>
      </c>
      <c r="D22" s="22" t="str">
        <f>"V - " &amp;RiskStatements[[#This Row],[Climate Variables/Explainers]]</f>
        <v>V - Coastal Inundation</v>
      </c>
      <c r="E22" s="22" t="str">
        <f>"EP - " &amp;RiskStatements[[#This Row],[Climate Variables/Explainers]]</f>
        <v>EP - Coastal Inundation</v>
      </c>
      <c r="F22" s="22" t="str">
        <f>"E2050 - " &amp;RiskStatements[[#This Row],[Climate Variables/Explainers]]</f>
        <v>E2050 - Coastal Inundation</v>
      </c>
      <c r="G22" s="22" t="str">
        <f>"E2100 - " &amp;RiskStatements[[#This Row],[Climate Variables/Explainers]]</f>
        <v>E2100 - Coastal Inundation</v>
      </c>
      <c r="H22" s="22" t="str" cm="1">
        <f t="array" ref="H22">_xlfn.XLOOKUP(RiskStatements[[#This Row],[Elements at Risk]],Final_VEValues[Elements at Risk],_xlfn.XLOOKUP(RiskStatements[[#This Row],[Vulnerability Header]],Final_VEValues[#Headers],Final_VEValues[]))</f>
        <v>M</v>
      </c>
      <c r="I22" s="22" t="str" cm="1">
        <f t="array" ref="I22">_xlfn.XLOOKUP(RiskStatements[[#This Row],[Elements at Risk]],Final_VEValues[Elements at Risk],_xlfn.XLOOKUP(RiskStatements[[#This Row],[Exposure Present Header]],Final_VEValues[#Headers],Final_VEValues[]))</f>
        <v>M</v>
      </c>
      <c r="J22" s="22" t="str" cm="1">
        <f t="array" ref="J22">_xlfn.XLOOKUP(RiskStatements[[#This Row],[Elements at Risk]],Final_VEValues[Elements at Risk],_xlfn.XLOOKUP(RiskStatements[[#This Row],[Exposure 2050 Header]],Final_VEValues[#Headers],Final_VEValues[]))</f>
        <v>H</v>
      </c>
      <c r="K22" s="22" t="str" cm="1">
        <f t="array" ref="K22">_xlfn.XLOOKUP(RiskStatements[[#This Row],[Elements at Risk]],Final_VEValues[Elements at Risk],_xlfn.XLOOKUP(RiskStatements[[#This Row],[Exposure 2100 Header]],Final_VEValues[#Headers],Final_VEValues[]))</f>
        <v>H</v>
      </c>
      <c r="L22" s="22" t="str">
        <f>_xlfn.CONCAT(RiskStatements[[#This Row],[Climate Variables/Explainers]]," risk to ",RiskStatements[[#This Row],[Elements at Risk]])</f>
        <v>Coastal Inundation risk to Office / Shop / Admin Activities</v>
      </c>
      <c r="M22" s="22" t="str" cm="1">
        <f t="array" ref="M22">_xlfn.XLOOKUP(RiskStatements[[#This Row],[Vulnerability Rating]],VEMatrix[Vulnerability],_xlfn.XLOOKUP(RiskStatements[[#This Row],[Exposure Rating - Present]],VEMatrix[#Headers],VEMatrix[]))</f>
        <v>Moderate</v>
      </c>
      <c r="N22" s="22" t="str" cm="1">
        <f t="array" ref="N22">_xlfn.XLOOKUP(RiskStatements[[#This Row],[Vulnerability Rating]],VEMatrix[Vulnerability],_xlfn.XLOOKUP(RiskStatements[[#This Row],[Exposure Rating - 2050]],VEMatrix[#Headers],VEMatrix[]))</f>
        <v>Moderate</v>
      </c>
      <c r="O22" s="22" t="str" cm="1">
        <f t="array" ref="O22">_xlfn.XLOOKUP(RiskStatements[[#This Row],[Vulnerability Rating]],VEMatrix[Vulnerability],_xlfn.XLOOKUP(RiskStatements[[#This Row],[Exposure Rating - 2100]],VEMatrix[#Headers],VEMatrix[]))</f>
        <v>Moderate</v>
      </c>
      <c r="P22" s="22">
        <f>_xlfn.XLOOKUP(RiskStatements[[#This Row],[Risk Rating - Present]],RatingOrder[Rating Order],RatingOrder[Rating Score],0,0)</f>
        <v>2</v>
      </c>
      <c r="Q22" s="22">
        <f>_xlfn.XLOOKUP(RiskStatements[[#This Row],[Risk Rating - 2050]],RatingOrder[Rating Order],RatingOrder[Rating Score],0,0)</f>
        <v>2</v>
      </c>
      <c r="R22" s="22">
        <f>_xlfn.XLOOKUP(RiskStatements[[#This Row],[Risk Rating - 2100]],RatingOrder[Rating Order],RatingOrder[Rating Score],0,0)</f>
        <v>2</v>
      </c>
      <c r="S2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23" spans="1:19" hidden="1" x14ac:dyDescent="0.35">
      <c r="A23" s="22" t="s">
        <v>46</v>
      </c>
      <c r="B23" s="22" t="s">
        <v>219</v>
      </c>
      <c r="C23" s="22" t="s">
        <v>133</v>
      </c>
      <c r="D23" s="22" t="str">
        <f>"V - " &amp;RiskStatements[[#This Row],[Climate Variables/Explainers]]</f>
        <v>V - Coastal Inundation</v>
      </c>
      <c r="E23" s="22" t="str">
        <f>"EP - " &amp;RiskStatements[[#This Row],[Climate Variables/Explainers]]</f>
        <v>EP - Coastal Inundation</v>
      </c>
      <c r="F23" s="22" t="str">
        <f>"E2050 - " &amp;RiskStatements[[#This Row],[Climate Variables/Explainers]]</f>
        <v>E2050 - Coastal Inundation</v>
      </c>
      <c r="G23" s="22" t="str">
        <f>"E2100 - " &amp;RiskStatements[[#This Row],[Climate Variables/Explainers]]</f>
        <v>E2100 - Coastal Inundation</v>
      </c>
      <c r="H23" s="22" t="str" cm="1">
        <f t="array" ref="H23">_xlfn.XLOOKUP(RiskStatements[[#This Row],[Elements at Risk]],Final_VEValues[Elements at Risk],_xlfn.XLOOKUP(RiskStatements[[#This Row],[Vulnerability Header]],Final_VEValues[#Headers],Final_VEValues[]))</f>
        <v>M</v>
      </c>
      <c r="I23" s="22" t="str" cm="1">
        <f t="array" ref="I23">_xlfn.XLOOKUP(RiskStatements[[#This Row],[Elements at Risk]],Final_VEValues[Elements at Risk],_xlfn.XLOOKUP(RiskStatements[[#This Row],[Exposure Present Header]],Final_VEValues[#Headers],Final_VEValues[]))</f>
        <v>M</v>
      </c>
      <c r="J23" s="22" t="str" cm="1">
        <f t="array" ref="J23">_xlfn.XLOOKUP(RiskStatements[[#This Row],[Elements at Risk]],Final_VEValues[Elements at Risk],_xlfn.XLOOKUP(RiskStatements[[#This Row],[Exposure 2050 Header]],Final_VEValues[#Headers],Final_VEValues[]))</f>
        <v>H</v>
      </c>
      <c r="K23" s="22" t="str" cm="1">
        <f t="array" ref="K23">_xlfn.XLOOKUP(RiskStatements[[#This Row],[Elements at Risk]],Final_VEValues[Elements at Risk],_xlfn.XLOOKUP(RiskStatements[[#This Row],[Exposure 2100 Header]],Final_VEValues[#Headers],Final_VEValues[]))</f>
        <v>H</v>
      </c>
      <c r="L23" s="22" t="str">
        <f>_xlfn.CONCAT(RiskStatements[[#This Row],[Climate Variables/Explainers]]," risk to ",RiskStatements[[#This Row],[Elements at Risk]])</f>
        <v>Coastal Inundation risk to Goods Supply Activities</v>
      </c>
      <c r="M23" s="22" t="str" cm="1">
        <f t="array" ref="M23">_xlfn.XLOOKUP(RiskStatements[[#This Row],[Vulnerability Rating]],VEMatrix[Vulnerability],_xlfn.XLOOKUP(RiskStatements[[#This Row],[Exposure Rating - Present]],VEMatrix[#Headers],VEMatrix[]))</f>
        <v>Moderate</v>
      </c>
      <c r="N23" s="22" t="str" cm="1">
        <f t="array" ref="N23">_xlfn.XLOOKUP(RiskStatements[[#This Row],[Vulnerability Rating]],VEMatrix[Vulnerability],_xlfn.XLOOKUP(RiskStatements[[#This Row],[Exposure Rating - 2050]],VEMatrix[#Headers],VEMatrix[]))</f>
        <v>Moderate</v>
      </c>
      <c r="O23" s="22" t="str" cm="1">
        <f t="array" ref="O23">_xlfn.XLOOKUP(RiskStatements[[#This Row],[Vulnerability Rating]],VEMatrix[Vulnerability],_xlfn.XLOOKUP(RiskStatements[[#This Row],[Exposure Rating - 2100]],VEMatrix[#Headers],VEMatrix[]))</f>
        <v>Moderate</v>
      </c>
      <c r="P23" s="22">
        <f>_xlfn.XLOOKUP(RiskStatements[[#This Row],[Risk Rating - Present]],RatingOrder[Rating Order],RatingOrder[Rating Score],0,0)</f>
        <v>2</v>
      </c>
      <c r="Q23" s="22">
        <f>_xlfn.XLOOKUP(RiskStatements[[#This Row],[Risk Rating - 2050]],RatingOrder[Rating Order],RatingOrder[Rating Score],0,0)</f>
        <v>2</v>
      </c>
      <c r="R23" s="22">
        <f>_xlfn.XLOOKUP(RiskStatements[[#This Row],[Risk Rating - 2100]],RatingOrder[Rating Order],RatingOrder[Rating Score],0,0)</f>
        <v>2</v>
      </c>
      <c r="S2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24" spans="1:19" hidden="1" x14ac:dyDescent="0.35">
      <c r="A24" s="22" t="s">
        <v>46</v>
      </c>
      <c r="B24" s="22" t="s">
        <v>217</v>
      </c>
      <c r="C24" s="22" t="s">
        <v>133</v>
      </c>
      <c r="D24" s="22" t="str">
        <f>"V - " &amp;RiskStatements[[#This Row],[Climate Variables/Explainers]]</f>
        <v>V - Coastal Inundation</v>
      </c>
      <c r="E24" s="22" t="str">
        <f>"EP - " &amp;RiskStatements[[#This Row],[Climate Variables/Explainers]]</f>
        <v>EP - Coastal Inundation</v>
      </c>
      <c r="F24" s="22" t="str">
        <f>"E2050 - " &amp;RiskStatements[[#This Row],[Climate Variables/Explainers]]</f>
        <v>E2050 - Coastal Inundation</v>
      </c>
      <c r="G24" s="22" t="str">
        <f>"E2100 - " &amp;RiskStatements[[#This Row],[Climate Variables/Explainers]]</f>
        <v>E2100 - Coastal Inundation</v>
      </c>
      <c r="H24" s="22" t="str" cm="1">
        <f t="array" ref="H24">_xlfn.XLOOKUP(RiskStatements[[#This Row],[Elements at Risk]],Final_VEValues[Elements at Risk],_xlfn.XLOOKUP(RiskStatements[[#This Row],[Vulnerability Header]],Final_VEValues[#Headers],Final_VEValues[]))</f>
        <v>M</v>
      </c>
      <c r="I24" s="22" t="str" cm="1">
        <f t="array" ref="I24">_xlfn.XLOOKUP(RiskStatements[[#This Row],[Elements at Risk]],Final_VEValues[Elements at Risk],_xlfn.XLOOKUP(RiskStatements[[#This Row],[Exposure Present Header]],Final_VEValues[#Headers],Final_VEValues[]))</f>
        <v>L</v>
      </c>
      <c r="J24" s="22" t="str" cm="1">
        <f t="array" ref="J24">_xlfn.XLOOKUP(RiskStatements[[#This Row],[Elements at Risk]],Final_VEValues[Elements at Risk],_xlfn.XLOOKUP(RiskStatements[[#This Row],[Exposure 2050 Header]],Final_VEValues[#Headers],Final_VEValues[]))</f>
        <v>H</v>
      </c>
      <c r="K24" s="22" t="str" cm="1">
        <f t="array" ref="K24">_xlfn.XLOOKUP(RiskStatements[[#This Row],[Elements at Risk]],Final_VEValues[Elements at Risk],_xlfn.XLOOKUP(RiskStatements[[#This Row],[Exposure 2100 Header]],Final_VEValues[#Headers],Final_VEValues[]))</f>
        <v>H</v>
      </c>
      <c r="L24" s="22" t="str">
        <f>_xlfn.CONCAT(RiskStatements[[#This Row],[Climate Variables/Explainers]]," risk to ",RiskStatements[[#This Row],[Elements at Risk]])</f>
        <v>Coastal Inundation risk to Construction Activities</v>
      </c>
      <c r="M24" s="22" t="str" cm="1">
        <f t="array" ref="M24">_xlfn.XLOOKUP(RiskStatements[[#This Row],[Vulnerability Rating]],VEMatrix[Vulnerability],_xlfn.XLOOKUP(RiskStatements[[#This Row],[Exposure Rating - Present]],VEMatrix[#Headers],VEMatrix[]))</f>
        <v>Low</v>
      </c>
      <c r="N24" s="22" t="str" cm="1">
        <f t="array" ref="N24">_xlfn.XLOOKUP(RiskStatements[[#This Row],[Vulnerability Rating]],VEMatrix[Vulnerability],_xlfn.XLOOKUP(RiskStatements[[#This Row],[Exposure Rating - 2050]],VEMatrix[#Headers],VEMatrix[]))</f>
        <v>Moderate</v>
      </c>
      <c r="O24" s="22" t="str" cm="1">
        <f t="array" ref="O24">_xlfn.XLOOKUP(RiskStatements[[#This Row],[Vulnerability Rating]],VEMatrix[Vulnerability],_xlfn.XLOOKUP(RiskStatements[[#This Row],[Exposure Rating - 2100]],VEMatrix[#Headers],VEMatrix[]))</f>
        <v>Moderate</v>
      </c>
      <c r="P24" s="22">
        <f>_xlfn.XLOOKUP(RiskStatements[[#This Row],[Risk Rating - Present]],RatingOrder[Rating Order],RatingOrder[Rating Score],0,0)</f>
        <v>1</v>
      </c>
      <c r="Q24" s="22">
        <f>_xlfn.XLOOKUP(RiskStatements[[#This Row],[Risk Rating - 2050]],RatingOrder[Rating Order],RatingOrder[Rating Score],0,0)</f>
        <v>2</v>
      </c>
      <c r="R24" s="22">
        <f>_xlfn.XLOOKUP(RiskStatements[[#This Row],[Risk Rating - 2100]],RatingOrder[Rating Order],RatingOrder[Rating Score],0,0)</f>
        <v>2</v>
      </c>
      <c r="S2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25" spans="1:19" x14ac:dyDescent="0.35">
      <c r="A25" s="22" t="s">
        <v>111</v>
      </c>
      <c r="B25" s="22" t="s">
        <v>112</v>
      </c>
      <c r="C25" s="22" t="s">
        <v>136</v>
      </c>
      <c r="D25" s="22" t="str">
        <f>"V - " &amp;RiskStatements[[#This Row],[Climate Variables/Explainers]]</f>
        <v>V - Drought</v>
      </c>
      <c r="E25" s="22" t="str">
        <f>"EP - " &amp;RiskStatements[[#This Row],[Climate Variables/Explainers]]</f>
        <v>EP - Drought</v>
      </c>
      <c r="F25" s="22" t="str">
        <f>"E2050 - " &amp;RiskStatements[[#This Row],[Climate Variables/Explainers]]</f>
        <v>E2050 - Drought</v>
      </c>
      <c r="G25" s="22" t="str">
        <f>"E2100 - " &amp;RiskStatements[[#This Row],[Climate Variables/Explainers]]</f>
        <v>E2100 - Drought</v>
      </c>
      <c r="H25" s="22" t="str" cm="1">
        <f t="array" ref="H25">_xlfn.XLOOKUP(RiskStatements[[#This Row],[Elements at Risk]],Final_VEValues[Elements at Risk],_xlfn.XLOOKUP(RiskStatements[[#This Row],[Vulnerability Header]],Final_VEValues[#Headers],Final_VEValues[]))</f>
        <v>L</v>
      </c>
      <c r="I25" s="22" t="str" cm="1">
        <f t="array" ref="I25">_xlfn.XLOOKUP(RiskStatements[[#This Row],[Elements at Risk]],Final_VEValues[Elements at Risk],_xlfn.XLOOKUP(RiskStatements[[#This Row],[Exposure Present Header]],Final_VEValues[#Headers],Final_VEValues[]))</f>
        <v>L</v>
      </c>
      <c r="J25" s="22" t="str" cm="1">
        <f t="array" ref="J25">_xlfn.XLOOKUP(RiskStatements[[#This Row],[Elements at Risk]],Final_VEValues[Elements at Risk],_xlfn.XLOOKUP(RiskStatements[[#This Row],[Exposure 2050 Header]],Final_VEValues[#Headers],Final_VEValues[]))</f>
        <v>L</v>
      </c>
      <c r="K25" s="22" t="str" cm="1">
        <f t="array" ref="K25">_xlfn.XLOOKUP(RiskStatements[[#This Row],[Elements at Risk]],Final_VEValues[Elements at Risk],_xlfn.XLOOKUP(RiskStatements[[#This Row],[Exposure 2100 Header]],Final_VEValues[#Headers],Final_VEValues[]))</f>
        <v>L</v>
      </c>
      <c r="L25" s="22" t="str">
        <f>_xlfn.CONCAT(RiskStatements[[#This Row],[Climate Variables/Explainers]]," risk to ",RiskStatements[[#This Row],[Elements at Risk]])</f>
        <v>Drought risk to Coastal / Marine Ecosystems</v>
      </c>
      <c r="M25" s="22" t="str" cm="1">
        <f t="array" ref="M25">_xlfn.XLOOKUP(RiskStatements[[#This Row],[Vulnerability Rating]],VEMatrix[Vulnerability],_xlfn.XLOOKUP(RiskStatements[[#This Row],[Exposure Rating - Present]],VEMatrix[#Headers],VEMatrix[]))</f>
        <v>Low</v>
      </c>
      <c r="N25" s="22" t="str" cm="1">
        <f t="array" ref="N25">_xlfn.XLOOKUP(RiskStatements[[#This Row],[Vulnerability Rating]],VEMatrix[Vulnerability],_xlfn.XLOOKUP(RiskStatements[[#This Row],[Exposure Rating - 2050]],VEMatrix[#Headers],VEMatrix[]))</f>
        <v>Low</v>
      </c>
      <c r="O25" s="22" t="str" cm="1">
        <f t="array" ref="O25">_xlfn.XLOOKUP(RiskStatements[[#This Row],[Vulnerability Rating]],VEMatrix[Vulnerability],_xlfn.XLOOKUP(RiskStatements[[#This Row],[Exposure Rating - 2100]],VEMatrix[#Headers],VEMatrix[]))</f>
        <v>Low</v>
      </c>
      <c r="P25" s="22">
        <f>_xlfn.XLOOKUP(RiskStatements[[#This Row],[Risk Rating - Present]],RatingOrder[Rating Order],RatingOrder[Rating Score],0,0)</f>
        <v>1</v>
      </c>
      <c r="Q25" s="22">
        <f>_xlfn.XLOOKUP(RiskStatements[[#This Row],[Risk Rating - 2050]],RatingOrder[Rating Order],RatingOrder[Rating Score],0,0)</f>
        <v>1</v>
      </c>
      <c r="R25" s="22">
        <f>_xlfn.XLOOKUP(RiskStatements[[#This Row],[Risk Rating - 2100]],RatingOrder[Rating Order],RatingOrder[Rating Score],0,0)</f>
        <v>1</v>
      </c>
      <c r="S2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26" spans="1:19" hidden="1" x14ac:dyDescent="0.35">
      <c r="A26" s="22" t="s">
        <v>111</v>
      </c>
      <c r="B26" s="22" t="s">
        <v>117</v>
      </c>
      <c r="C26" s="22" t="s">
        <v>136</v>
      </c>
      <c r="D26" s="22" t="str">
        <f>"V - " &amp;RiskStatements[[#This Row],[Climate Variables/Explainers]]</f>
        <v>V - Drought</v>
      </c>
      <c r="E26" s="22" t="str">
        <f>"EP - " &amp;RiskStatements[[#This Row],[Climate Variables/Explainers]]</f>
        <v>EP - Drought</v>
      </c>
      <c r="F26" s="22" t="str">
        <f>"E2050 - " &amp;RiskStatements[[#This Row],[Climate Variables/Explainers]]</f>
        <v>E2050 - Drought</v>
      </c>
      <c r="G26" s="22" t="str">
        <f>"E2100 - " &amp;RiskStatements[[#This Row],[Climate Variables/Explainers]]</f>
        <v>E2100 - Drought</v>
      </c>
      <c r="H26" s="22" t="str" cm="1">
        <f t="array" ref="H26">_xlfn.XLOOKUP(RiskStatements[[#This Row],[Elements at Risk]],Final_VEValues[Elements at Risk],_xlfn.XLOOKUP(RiskStatements[[#This Row],[Vulnerability Header]],Final_VEValues[#Headers],Final_VEValues[]))</f>
        <v>E</v>
      </c>
      <c r="I26" s="22" t="str" cm="1">
        <f t="array" ref="I26">_xlfn.XLOOKUP(RiskStatements[[#This Row],[Elements at Risk]],Final_VEValues[Elements at Risk],_xlfn.XLOOKUP(RiskStatements[[#This Row],[Exposure Present Header]],Final_VEValues[#Headers],Final_VEValues[]))</f>
        <v>L</v>
      </c>
      <c r="J26" s="22" t="str" cm="1">
        <f t="array" ref="J26">_xlfn.XLOOKUP(RiskStatements[[#This Row],[Elements at Risk]],Final_VEValues[Elements at Risk],_xlfn.XLOOKUP(RiskStatements[[#This Row],[Exposure 2050 Header]],Final_VEValues[#Headers],Final_VEValues[]))</f>
        <v>M</v>
      </c>
      <c r="K26" s="22" t="str" cm="1">
        <f t="array" ref="K26">_xlfn.XLOOKUP(RiskStatements[[#This Row],[Elements at Risk]],Final_VEValues[Elements at Risk],_xlfn.XLOOKUP(RiskStatements[[#This Row],[Exposure 2100 Header]],Final_VEValues[#Headers],Final_VEValues[]))</f>
        <v>E</v>
      </c>
      <c r="L26" s="22" t="str">
        <f>_xlfn.CONCAT(RiskStatements[[#This Row],[Climate Variables/Explainers]]," risk to ",RiskStatements[[#This Row],[Elements at Risk]])</f>
        <v>Drought risk to Terrestrial Ecosystems</v>
      </c>
      <c r="M26" s="22" t="str" cm="1">
        <f t="array" ref="M26">_xlfn.XLOOKUP(RiskStatements[[#This Row],[Vulnerability Rating]],VEMatrix[Vulnerability],_xlfn.XLOOKUP(RiskStatements[[#This Row],[Exposure Rating - Present]],VEMatrix[#Headers],VEMatrix[]))</f>
        <v>Moderate</v>
      </c>
      <c r="N26" s="22" t="str" cm="1">
        <f t="array" ref="N26">_xlfn.XLOOKUP(RiskStatements[[#This Row],[Vulnerability Rating]],VEMatrix[Vulnerability],_xlfn.XLOOKUP(RiskStatements[[#This Row],[Exposure Rating - 2050]],VEMatrix[#Headers],VEMatrix[]))</f>
        <v>High</v>
      </c>
      <c r="O26" s="22" t="str" cm="1">
        <f t="array" ref="O26">_xlfn.XLOOKUP(RiskStatements[[#This Row],[Vulnerability Rating]],VEMatrix[Vulnerability],_xlfn.XLOOKUP(RiskStatements[[#This Row],[Exposure Rating - 2100]],VEMatrix[#Headers],VEMatrix[]))</f>
        <v>Extreme</v>
      </c>
      <c r="P26" s="22">
        <f>_xlfn.XLOOKUP(RiskStatements[[#This Row],[Risk Rating - Present]],RatingOrder[Rating Order],RatingOrder[Rating Score],0,0)</f>
        <v>2</v>
      </c>
      <c r="Q26" s="22">
        <f>_xlfn.XLOOKUP(RiskStatements[[#This Row],[Risk Rating - 2050]],RatingOrder[Rating Order],RatingOrder[Rating Score],0,0)</f>
        <v>3</v>
      </c>
      <c r="R26" s="22">
        <f>_xlfn.XLOOKUP(RiskStatements[[#This Row],[Risk Rating - 2100]],RatingOrder[Rating Order],RatingOrder[Rating Score],0,0)</f>
        <v>4</v>
      </c>
      <c r="S2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27" spans="1:19" hidden="1" x14ac:dyDescent="0.35">
      <c r="A27" s="22" t="s">
        <v>111</v>
      </c>
      <c r="B27" s="22" t="s">
        <v>119</v>
      </c>
      <c r="C27" s="22" t="s">
        <v>136</v>
      </c>
      <c r="D27" s="22" t="str">
        <f>"V - " &amp;RiskStatements[[#This Row],[Climate Variables/Explainers]]</f>
        <v>V - Drought</v>
      </c>
      <c r="E27" s="22" t="str">
        <f>"EP - " &amp;RiskStatements[[#This Row],[Climate Variables/Explainers]]</f>
        <v>EP - Drought</v>
      </c>
      <c r="F27" s="22" t="str">
        <f>"E2050 - " &amp;RiskStatements[[#This Row],[Climate Variables/Explainers]]</f>
        <v>E2050 - Drought</v>
      </c>
      <c r="G27" s="22" t="str">
        <f>"E2100 - " &amp;RiskStatements[[#This Row],[Climate Variables/Explainers]]</f>
        <v>E2100 - Drought</v>
      </c>
      <c r="H27" s="22" t="str" cm="1">
        <f t="array" ref="H27">_xlfn.XLOOKUP(RiskStatements[[#This Row],[Elements at Risk]],Final_VEValues[Elements at Risk],_xlfn.XLOOKUP(RiskStatements[[#This Row],[Vulnerability Header]],Final_VEValues[#Headers],Final_VEValues[]))</f>
        <v>H</v>
      </c>
      <c r="I27" s="22" t="str" cm="1">
        <f t="array" ref="I27">_xlfn.XLOOKUP(RiskStatements[[#This Row],[Elements at Risk]],Final_VEValues[Elements at Risk],_xlfn.XLOOKUP(RiskStatements[[#This Row],[Exposure Present Header]],Final_VEValues[#Headers],Final_VEValues[]))</f>
        <v>M</v>
      </c>
      <c r="J27" s="22" t="str" cm="1">
        <f t="array" ref="J27">_xlfn.XLOOKUP(RiskStatements[[#This Row],[Elements at Risk]],Final_VEValues[Elements at Risk],_xlfn.XLOOKUP(RiskStatements[[#This Row],[Exposure 2050 Header]],Final_VEValues[#Headers],Final_VEValues[]))</f>
        <v>H</v>
      </c>
      <c r="K27" s="22" t="str" cm="1">
        <f t="array" ref="K27">_xlfn.XLOOKUP(RiskStatements[[#This Row],[Elements at Risk]],Final_VEValues[Elements at Risk],_xlfn.XLOOKUP(RiskStatements[[#This Row],[Exposure 2100 Header]],Final_VEValues[#Headers],Final_VEValues[]))</f>
        <v>E</v>
      </c>
      <c r="L27" s="22" t="str">
        <f>_xlfn.CONCAT(RiskStatements[[#This Row],[Climate Variables/Explainers]]," risk to ",RiskStatements[[#This Row],[Elements at Risk]])</f>
        <v>Drought risk to Freshwater Ecosystems</v>
      </c>
      <c r="M27" s="22" t="str" cm="1">
        <f t="array" ref="M27">_xlfn.XLOOKUP(RiskStatements[[#This Row],[Vulnerability Rating]],VEMatrix[Vulnerability],_xlfn.XLOOKUP(RiskStatements[[#This Row],[Exposure Rating - Present]],VEMatrix[#Headers],VEMatrix[]))</f>
        <v>Moderate</v>
      </c>
      <c r="N27" s="22" t="str" cm="1">
        <f t="array" ref="N27">_xlfn.XLOOKUP(RiskStatements[[#This Row],[Vulnerability Rating]],VEMatrix[Vulnerability],_xlfn.XLOOKUP(RiskStatements[[#This Row],[Exposure Rating - 2050]],VEMatrix[#Headers],VEMatrix[]))</f>
        <v>High</v>
      </c>
      <c r="O27" s="22" t="str" cm="1">
        <f t="array" ref="O27">_xlfn.XLOOKUP(RiskStatements[[#This Row],[Vulnerability Rating]],VEMatrix[Vulnerability],_xlfn.XLOOKUP(RiskStatements[[#This Row],[Exposure Rating - 2100]],VEMatrix[#Headers],VEMatrix[]))</f>
        <v>Extreme</v>
      </c>
      <c r="P27" s="22">
        <f>_xlfn.XLOOKUP(RiskStatements[[#This Row],[Risk Rating - Present]],RatingOrder[Rating Order],RatingOrder[Rating Score],0,0)</f>
        <v>2</v>
      </c>
      <c r="Q27" s="22">
        <f>_xlfn.XLOOKUP(RiskStatements[[#This Row],[Risk Rating - 2050]],RatingOrder[Rating Order],RatingOrder[Rating Score],0,0)</f>
        <v>3</v>
      </c>
      <c r="R27" s="22">
        <f>_xlfn.XLOOKUP(RiskStatements[[#This Row],[Risk Rating - 2100]],RatingOrder[Rating Order],RatingOrder[Rating Score],0,0)</f>
        <v>4</v>
      </c>
      <c r="S2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28" spans="1:19" hidden="1" x14ac:dyDescent="0.35">
      <c r="A28" s="22" t="s">
        <v>120</v>
      </c>
      <c r="B28" s="22" t="s">
        <v>210</v>
      </c>
      <c r="C28" s="22" t="s">
        <v>136</v>
      </c>
      <c r="D28" s="22" t="str">
        <f>"V - " &amp;RiskStatements[[#This Row],[Climate Variables/Explainers]]</f>
        <v>V - Drought</v>
      </c>
      <c r="E28" s="22" t="str">
        <f>"EP - " &amp;RiskStatements[[#This Row],[Climate Variables/Explainers]]</f>
        <v>EP - Drought</v>
      </c>
      <c r="F28" s="22" t="str">
        <f>"E2050 - " &amp;RiskStatements[[#This Row],[Climate Variables/Explainers]]</f>
        <v>E2050 - Drought</v>
      </c>
      <c r="G28" s="22" t="str">
        <f>"E2100 - " &amp;RiskStatements[[#This Row],[Climate Variables/Explainers]]</f>
        <v>E2100 - Drought</v>
      </c>
      <c r="H28" s="22" t="str" cm="1">
        <f t="array" ref="H28">_xlfn.XLOOKUP(RiskStatements[[#This Row],[Elements at Risk]],Final_VEValues[Elements at Risk],_xlfn.XLOOKUP(RiskStatements[[#This Row],[Vulnerability Header]],Final_VEValues[#Headers],Final_VEValues[]))</f>
        <v>M</v>
      </c>
      <c r="I28" s="22" t="str" cm="1">
        <f t="array" ref="I28">_xlfn.XLOOKUP(RiskStatements[[#This Row],[Elements at Risk]],Final_VEValues[Elements at Risk],_xlfn.XLOOKUP(RiskStatements[[#This Row],[Exposure Present Header]],Final_VEValues[#Headers],Final_VEValues[]))</f>
        <v>M</v>
      </c>
      <c r="J28" s="22" t="str" cm="1">
        <f t="array" ref="J28">_xlfn.XLOOKUP(RiskStatements[[#This Row],[Elements at Risk]],Final_VEValues[Elements at Risk],_xlfn.XLOOKUP(RiskStatements[[#This Row],[Exposure 2050 Header]],Final_VEValues[#Headers],Final_VEValues[]))</f>
        <v>H</v>
      </c>
      <c r="K28" s="22" t="str" cm="1">
        <f t="array" ref="K28">_xlfn.XLOOKUP(RiskStatements[[#This Row],[Elements at Risk]],Final_VEValues[Elements at Risk],_xlfn.XLOOKUP(RiskStatements[[#This Row],[Exposure 2100 Header]],Final_VEValues[#Headers],Final_VEValues[]))</f>
        <v>E</v>
      </c>
      <c r="L28" s="22" t="str">
        <f>_xlfn.CONCAT(RiskStatements[[#This Row],[Climate Variables/Explainers]]," risk to ",RiskStatements[[#This Row],[Elements at Risk]])</f>
        <v>Drought risk to Inhabited Buildings</v>
      </c>
      <c r="M28" s="22" t="str" cm="1">
        <f t="array" ref="M28">_xlfn.XLOOKUP(RiskStatements[[#This Row],[Vulnerability Rating]],VEMatrix[Vulnerability],_xlfn.XLOOKUP(RiskStatements[[#This Row],[Exposure Rating - Present]],VEMatrix[#Headers],VEMatrix[]))</f>
        <v>Moderate</v>
      </c>
      <c r="N28" s="22" t="str" cm="1">
        <f t="array" ref="N28">_xlfn.XLOOKUP(RiskStatements[[#This Row],[Vulnerability Rating]],VEMatrix[Vulnerability],_xlfn.XLOOKUP(RiskStatements[[#This Row],[Exposure Rating - 2050]],VEMatrix[#Headers],VEMatrix[]))</f>
        <v>Moderate</v>
      </c>
      <c r="O28" s="22" t="str" cm="1">
        <f t="array" ref="O28">_xlfn.XLOOKUP(RiskStatements[[#This Row],[Vulnerability Rating]],VEMatrix[Vulnerability],_xlfn.XLOOKUP(RiskStatements[[#This Row],[Exposure Rating - 2100]],VEMatrix[#Headers],VEMatrix[]))</f>
        <v>High</v>
      </c>
      <c r="P28" s="22">
        <f>_xlfn.XLOOKUP(RiskStatements[[#This Row],[Risk Rating - Present]],RatingOrder[Rating Order],RatingOrder[Rating Score],0,0)</f>
        <v>2</v>
      </c>
      <c r="Q28" s="22">
        <f>_xlfn.XLOOKUP(RiskStatements[[#This Row],[Risk Rating - 2050]],RatingOrder[Rating Order],RatingOrder[Rating Score],0,0)</f>
        <v>2</v>
      </c>
      <c r="R28" s="22">
        <f>_xlfn.XLOOKUP(RiskStatements[[#This Row],[Risk Rating - 2100]],RatingOrder[Rating Order],RatingOrder[Rating Score],0,0)</f>
        <v>3</v>
      </c>
      <c r="S2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29" spans="1:19" hidden="1" x14ac:dyDescent="0.35">
      <c r="A29" s="22" t="s">
        <v>120</v>
      </c>
      <c r="B29" s="22" t="s">
        <v>218</v>
      </c>
      <c r="C29" s="22" t="s">
        <v>136</v>
      </c>
      <c r="D29" s="22" t="str">
        <f>"V - " &amp;RiskStatements[[#This Row],[Climate Variables/Explainers]]</f>
        <v>V - Drought</v>
      </c>
      <c r="E29" s="22" t="str">
        <f>"EP - " &amp;RiskStatements[[#This Row],[Climate Variables/Explainers]]</f>
        <v>EP - Drought</v>
      </c>
      <c r="F29" s="22" t="str">
        <f>"E2050 - " &amp;RiskStatements[[#This Row],[Climate Variables/Explainers]]</f>
        <v>E2050 - Drought</v>
      </c>
      <c r="G29" s="22" t="str">
        <f>"E2100 - " &amp;RiskStatements[[#This Row],[Climate Variables/Explainers]]</f>
        <v>E2100 - Drought</v>
      </c>
      <c r="H29" s="22" t="str" cm="1">
        <f t="array" ref="H29">_xlfn.XLOOKUP(RiskStatements[[#This Row],[Elements at Risk]],Final_VEValues[Elements at Risk],_xlfn.XLOOKUP(RiskStatements[[#This Row],[Vulnerability Header]],Final_VEValues[#Headers],Final_VEValues[]))</f>
        <v>M</v>
      </c>
      <c r="I29" s="22" t="str" cm="1">
        <f t="array" ref="I29">_xlfn.XLOOKUP(RiskStatements[[#This Row],[Elements at Risk]],Final_VEValues[Elements at Risk],_xlfn.XLOOKUP(RiskStatements[[#This Row],[Exposure Present Header]],Final_VEValues[#Headers],Final_VEValues[]))</f>
        <v>L</v>
      </c>
      <c r="J29" s="22" t="str" cm="1">
        <f t="array" ref="J29">_xlfn.XLOOKUP(RiskStatements[[#This Row],[Elements at Risk]],Final_VEValues[Elements at Risk],_xlfn.XLOOKUP(RiskStatements[[#This Row],[Exposure 2050 Header]],Final_VEValues[#Headers],Final_VEValues[]))</f>
        <v>M</v>
      </c>
      <c r="K29" s="22" t="str" cm="1">
        <f t="array" ref="K29">_xlfn.XLOOKUP(RiskStatements[[#This Row],[Elements at Risk]],Final_VEValues[Elements at Risk],_xlfn.XLOOKUP(RiskStatements[[#This Row],[Exposure 2100 Header]],Final_VEValues[#Headers],Final_VEValues[]))</f>
        <v>M</v>
      </c>
      <c r="L29" s="22" t="str">
        <f>_xlfn.CONCAT(RiskStatements[[#This Row],[Climate Variables/Explainers]]," risk to ",RiskStatements[[#This Row],[Elements at Risk]])</f>
        <v>Drought risk to Ports / Wharves</v>
      </c>
      <c r="M29" s="22" t="str" cm="1">
        <f t="array" ref="M29">_xlfn.XLOOKUP(RiskStatements[[#This Row],[Vulnerability Rating]],VEMatrix[Vulnerability],_xlfn.XLOOKUP(RiskStatements[[#This Row],[Exposure Rating - Present]],VEMatrix[#Headers],VEMatrix[]))</f>
        <v>Low</v>
      </c>
      <c r="N29" s="22" t="str" cm="1">
        <f t="array" ref="N29">_xlfn.XLOOKUP(RiskStatements[[#This Row],[Vulnerability Rating]],VEMatrix[Vulnerability],_xlfn.XLOOKUP(RiskStatements[[#This Row],[Exposure Rating - 2050]],VEMatrix[#Headers],VEMatrix[]))</f>
        <v>Moderate</v>
      </c>
      <c r="O29" s="22" t="str" cm="1">
        <f t="array" ref="O29">_xlfn.XLOOKUP(RiskStatements[[#This Row],[Vulnerability Rating]],VEMatrix[Vulnerability],_xlfn.XLOOKUP(RiskStatements[[#This Row],[Exposure Rating - 2100]],VEMatrix[#Headers],VEMatrix[]))</f>
        <v>Moderate</v>
      </c>
      <c r="P29" s="22">
        <f>_xlfn.XLOOKUP(RiskStatements[[#This Row],[Risk Rating - Present]],RatingOrder[Rating Order],RatingOrder[Rating Score],0,0)</f>
        <v>1</v>
      </c>
      <c r="Q29" s="22">
        <f>_xlfn.XLOOKUP(RiskStatements[[#This Row],[Risk Rating - 2050]],RatingOrder[Rating Order],RatingOrder[Rating Score],0,0)</f>
        <v>2</v>
      </c>
      <c r="R29" s="22">
        <f>_xlfn.XLOOKUP(RiskStatements[[#This Row],[Risk Rating - 2100]],RatingOrder[Rating Order],RatingOrder[Rating Score],0,0)</f>
        <v>2</v>
      </c>
      <c r="S2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30" spans="1:19" hidden="1" x14ac:dyDescent="0.35">
      <c r="A30" s="22" t="s">
        <v>120</v>
      </c>
      <c r="B30" s="22" t="s">
        <v>220</v>
      </c>
      <c r="C30" s="22" t="s">
        <v>136</v>
      </c>
      <c r="D30" s="22" t="str">
        <f>"V - " &amp;RiskStatements[[#This Row],[Climate Variables/Explainers]]</f>
        <v>V - Drought</v>
      </c>
      <c r="E30" s="22" t="str">
        <f>"EP - " &amp;RiskStatements[[#This Row],[Climate Variables/Explainers]]</f>
        <v>EP - Drought</v>
      </c>
      <c r="F30" s="22" t="str">
        <f>"E2050 - " &amp;RiskStatements[[#This Row],[Climate Variables/Explainers]]</f>
        <v>E2050 - Drought</v>
      </c>
      <c r="G30" s="22" t="str">
        <f>"E2100 - " &amp;RiskStatements[[#This Row],[Climate Variables/Explainers]]</f>
        <v>E2100 - Drought</v>
      </c>
      <c r="H30" s="22" t="str" cm="1">
        <f t="array" ref="H30">_xlfn.XLOOKUP(RiskStatements[[#This Row],[Elements at Risk]],Final_VEValues[Elements at Risk],_xlfn.XLOOKUP(RiskStatements[[#This Row],[Vulnerability Header]],Final_VEValues[#Headers],Final_VEValues[]))</f>
        <v>M</v>
      </c>
      <c r="I30" s="22" t="str" cm="1">
        <f t="array" ref="I30">_xlfn.XLOOKUP(RiskStatements[[#This Row],[Elements at Risk]],Final_VEValues[Elements at Risk],_xlfn.XLOOKUP(RiskStatements[[#This Row],[Exposure Present Header]],Final_VEValues[#Headers],Final_VEValues[]))</f>
        <v>M</v>
      </c>
      <c r="J30" s="22" t="str" cm="1">
        <f t="array" ref="J30">_xlfn.XLOOKUP(RiskStatements[[#This Row],[Elements at Risk]],Final_VEValues[Elements at Risk],_xlfn.XLOOKUP(RiskStatements[[#This Row],[Exposure 2050 Header]],Final_VEValues[#Headers],Final_VEValues[]))</f>
        <v>H</v>
      </c>
      <c r="K30" s="22" t="str" cm="1">
        <f t="array" ref="K30">_xlfn.XLOOKUP(RiskStatements[[#This Row],[Elements at Risk]],Final_VEValues[Elements at Risk],_xlfn.XLOOKUP(RiskStatements[[#This Row],[Exposure 2100 Header]],Final_VEValues[#Headers],Final_VEValues[]))</f>
        <v>E</v>
      </c>
      <c r="L30" s="22" t="str">
        <f>_xlfn.CONCAT(RiskStatements[[#This Row],[Climate Variables/Explainers]]," risk to ",RiskStatements[[#This Row],[Elements at Risk]])</f>
        <v>Drought risk to Airports / Airfields</v>
      </c>
      <c r="M30" s="22" t="str" cm="1">
        <f t="array" ref="M30">_xlfn.XLOOKUP(RiskStatements[[#This Row],[Vulnerability Rating]],VEMatrix[Vulnerability],_xlfn.XLOOKUP(RiskStatements[[#This Row],[Exposure Rating - Present]],VEMatrix[#Headers],VEMatrix[]))</f>
        <v>Moderate</v>
      </c>
      <c r="N30" s="22" t="str" cm="1">
        <f t="array" ref="N30">_xlfn.XLOOKUP(RiskStatements[[#This Row],[Vulnerability Rating]],VEMatrix[Vulnerability],_xlfn.XLOOKUP(RiskStatements[[#This Row],[Exposure Rating - 2050]],VEMatrix[#Headers],VEMatrix[]))</f>
        <v>Moderate</v>
      </c>
      <c r="O30" s="22" t="str" cm="1">
        <f t="array" ref="O30">_xlfn.XLOOKUP(RiskStatements[[#This Row],[Vulnerability Rating]],VEMatrix[Vulnerability],_xlfn.XLOOKUP(RiskStatements[[#This Row],[Exposure Rating - 2100]],VEMatrix[#Headers],VEMatrix[]))</f>
        <v>High</v>
      </c>
      <c r="P30" s="22">
        <f>_xlfn.XLOOKUP(RiskStatements[[#This Row],[Risk Rating - Present]],RatingOrder[Rating Order],RatingOrder[Rating Score],0,0)</f>
        <v>2</v>
      </c>
      <c r="Q30" s="22">
        <f>_xlfn.XLOOKUP(RiskStatements[[#This Row],[Risk Rating - 2050]],RatingOrder[Rating Order],RatingOrder[Rating Score],0,0)</f>
        <v>2</v>
      </c>
      <c r="R30" s="22">
        <f>_xlfn.XLOOKUP(RiskStatements[[#This Row],[Risk Rating - 2100]],RatingOrder[Rating Order],RatingOrder[Rating Score],0,0)</f>
        <v>3</v>
      </c>
      <c r="S3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31" spans="1:19" hidden="1" x14ac:dyDescent="0.35">
      <c r="A31" s="22" t="s">
        <v>120</v>
      </c>
      <c r="B31" s="22" t="s">
        <v>67</v>
      </c>
      <c r="C31" s="22" t="s">
        <v>136</v>
      </c>
      <c r="D31" s="22" t="str">
        <f>"V - " &amp;RiskStatements[[#This Row],[Climate Variables/Explainers]]</f>
        <v>V - Drought</v>
      </c>
      <c r="E31" s="22" t="str">
        <f>"EP - " &amp;RiskStatements[[#This Row],[Climate Variables/Explainers]]</f>
        <v>EP - Drought</v>
      </c>
      <c r="F31" s="22" t="str">
        <f>"E2050 - " &amp;RiskStatements[[#This Row],[Climate Variables/Explainers]]</f>
        <v>E2050 - Drought</v>
      </c>
      <c r="G31" s="22" t="str">
        <f>"E2100 - " &amp;RiskStatements[[#This Row],[Climate Variables/Explainers]]</f>
        <v>E2100 - Drought</v>
      </c>
      <c r="H31" s="22" t="str" cm="1">
        <f t="array" ref="H31">_xlfn.XLOOKUP(RiskStatements[[#This Row],[Elements at Risk]],Final_VEValues[Elements at Risk],_xlfn.XLOOKUP(RiskStatements[[#This Row],[Vulnerability Header]],Final_VEValues[#Headers],Final_VEValues[]))</f>
        <v>L</v>
      </c>
      <c r="I31" s="22" t="str" cm="1">
        <f t="array" ref="I31">_xlfn.XLOOKUP(RiskStatements[[#This Row],[Elements at Risk]],Final_VEValues[Elements at Risk],_xlfn.XLOOKUP(RiskStatements[[#This Row],[Exposure Present Header]],Final_VEValues[#Headers],Final_VEValues[]))</f>
        <v>L</v>
      </c>
      <c r="J31" s="22" t="str" cm="1">
        <f t="array" ref="J31">_xlfn.XLOOKUP(RiskStatements[[#This Row],[Elements at Risk]],Final_VEValues[Elements at Risk],_xlfn.XLOOKUP(RiskStatements[[#This Row],[Exposure 2050 Header]],Final_VEValues[#Headers],Final_VEValues[]))</f>
        <v>M</v>
      </c>
      <c r="K31" s="22" t="str" cm="1">
        <f t="array" ref="K31">_xlfn.XLOOKUP(RiskStatements[[#This Row],[Elements at Risk]],Final_VEValues[Elements at Risk],_xlfn.XLOOKUP(RiskStatements[[#This Row],[Exposure 2100 Header]],Final_VEValues[#Headers],Final_VEValues[]))</f>
        <v>M</v>
      </c>
      <c r="L31" s="22" t="str">
        <f>_xlfn.CONCAT(RiskStatements[[#This Row],[Climate Variables/Explainers]]," risk to ",RiskStatements[[#This Row],[Elements at Risk]])</f>
        <v>Drought risk to Telecommunications</v>
      </c>
      <c r="M31" s="22" t="str" cm="1">
        <f t="array" ref="M31">_xlfn.XLOOKUP(RiskStatements[[#This Row],[Vulnerability Rating]],VEMatrix[Vulnerability],_xlfn.XLOOKUP(RiskStatements[[#This Row],[Exposure Rating - Present]],VEMatrix[#Headers],VEMatrix[]))</f>
        <v>Low</v>
      </c>
      <c r="N31" s="22" t="str" cm="1">
        <f t="array" ref="N31">_xlfn.XLOOKUP(RiskStatements[[#This Row],[Vulnerability Rating]],VEMatrix[Vulnerability],_xlfn.XLOOKUP(RiskStatements[[#This Row],[Exposure Rating - 2050]],VEMatrix[#Headers],VEMatrix[]))</f>
        <v>Low</v>
      </c>
      <c r="O31" s="22" t="str" cm="1">
        <f t="array" ref="O31">_xlfn.XLOOKUP(RiskStatements[[#This Row],[Vulnerability Rating]],VEMatrix[Vulnerability],_xlfn.XLOOKUP(RiskStatements[[#This Row],[Exposure Rating - 2100]],VEMatrix[#Headers],VEMatrix[]))</f>
        <v>Low</v>
      </c>
      <c r="P31" s="22">
        <f>_xlfn.XLOOKUP(RiskStatements[[#This Row],[Risk Rating - Present]],RatingOrder[Rating Order],RatingOrder[Rating Score],0,0)</f>
        <v>1</v>
      </c>
      <c r="Q31" s="22">
        <f>_xlfn.XLOOKUP(RiskStatements[[#This Row],[Risk Rating - 2050]],RatingOrder[Rating Order],RatingOrder[Rating Score],0,0)</f>
        <v>1</v>
      </c>
      <c r="R31" s="22">
        <f>_xlfn.XLOOKUP(RiskStatements[[#This Row],[Risk Rating - 2100]],RatingOrder[Rating Order],RatingOrder[Rating Score],0,0)</f>
        <v>1</v>
      </c>
      <c r="S3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32" spans="1:19" hidden="1" x14ac:dyDescent="0.35">
      <c r="A32" s="22" t="s">
        <v>120</v>
      </c>
      <c r="B32" s="22" t="s">
        <v>121</v>
      </c>
      <c r="C32" s="22" t="s">
        <v>136</v>
      </c>
      <c r="D32" s="22" t="str">
        <f>"V - " &amp;RiskStatements[[#This Row],[Climate Variables/Explainers]]</f>
        <v>V - Drought</v>
      </c>
      <c r="E32" s="22" t="str">
        <f>"EP - " &amp;RiskStatements[[#This Row],[Climate Variables/Explainers]]</f>
        <v>EP - Drought</v>
      </c>
      <c r="F32" s="22" t="str">
        <f>"E2050 - " &amp;RiskStatements[[#This Row],[Climate Variables/Explainers]]</f>
        <v>E2050 - Drought</v>
      </c>
      <c r="G32" s="22" t="str">
        <f>"E2100 - " &amp;RiskStatements[[#This Row],[Climate Variables/Explainers]]</f>
        <v>E2100 - Drought</v>
      </c>
      <c r="H32" s="22" t="str" cm="1">
        <f t="array" ref="H32">_xlfn.XLOOKUP(RiskStatements[[#This Row],[Elements at Risk]],Final_VEValues[Elements at Risk],_xlfn.XLOOKUP(RiskStatements[[#This Row],[Vulnerability Header]],Final_VEValues[#Headers],Final_VEValues[]))</f>
        <v>L</v>
      </c>
      <c r="I32" s="22" t="str" cm="1">
        <f t="array" ref="I32">_xlfn.XLOOKUP(RiskStatements[[#This Row],[Elements at Risk]],Final_VEValues[Elements at Risk],_xlfn.XLOOKUP(RiskStatements[[#This Row],[Exposure Present Header]],Final_VEValues[#Headers],Final_VEValues[]))</f>
        <v>L</v>
      </c>
      <c r="J32" s="22" t="str" cm="1">
        <f t="array" ref="J32">_xlfn.XLOOKUP(RiskStatements[[#This Row],[Elements at Risk]],Final_VEValues[Elements at Risk],_xlfn.XLOOKUP(RiskStatements[[#This Row],[Exposure 2050 Header]],Final_VEValues[#Headers],Final_VEValues[]))</f>
        <v>M</v>
      </c>
      <c r="K32" s="22" t="str" cm="1">
        <f t="array" ref="K32">_xlfn.XLOOKUP(RiskStatements[[#This Row],[Elements at Risk]],Final_VEValues[Elements at Risk],_xlfn.XLOOKUP(RiskStatements[[#This Row],[Exposure 2100 Header]],Final_VEValues[#Headers],Final_VEValues[]))</f>
        <v>M</v>
      </c>
      <c r="L32" s="22" t="str">
        <f>_xlfn.CONCAT(RiskStatements[[#This Row],[Climate Variables/Explainers]]," risk to ",RiskStatements[[#This Row],[Elements at Risk]])</f>
        <v>Drought risk to Electricity</v>
      </c>
      <c r="M32" s="22" t="str" cm="1">
        <f t="array" ref="M32">_xlfn.XLOOKUP(RiskStatements[[#This Row],[Vulnerability Rating]],VEMatrix[Vulnerability],_xlfn.XLOOKUP(RiskStatements[[#This Row],[Exposure Rating - Present]],VEMatrix[#Headers],VEMatrix[]))</f>
        <v>Low</v>
      </c>
      <c r="N32" s="22" t="str" cm="1">
        <f t="array" ref="N32">_xlfn.XLOOKUP(RiskStatements[[#This Row],[Vulnerability Rating]],VEMatrix[Vulnerability],_xlfn.XLOOKUP(RiskStatements[[#This Row],[Exposure Rating - 2050]],VEMatrix[#Headers],VEMatrix[]))</f>
        <v>Low</v>
      </c>
      <c r="O32" s="22" t="str" cm="1">
        <f t="array" ref="O32">_xlfn.XLOOKUP(RiskStatements[[#This Row],[Vulnerability Rating]],VEMatrix[Vulnerability],_xlfn.XLOOKUP(RiskStatements[[#This Row],[Exposure Rating - 2100]],VEMatrix[#Headers],VEMatrix[]))</f>
        <v>Low</v>
      </c>
      <c r="P32" s="22">
        <f>_xlfn.XLOOKUP(RiskStatements[[#This Row],[Risk Rating - Present]],RatingOrder[Rating Order],RatingOrder[Rating Score],0,0)</f>
        <v>1</v>
      </c>
      <c r="Q32" s="22">
        <f>_xlfn.XLOOKUP(RiskStatements[[#This Row],[Risk Rating - 2050]],RatingOrder[Rating Order],RatingOrder[Rating Score],0,0)</f>
        <v>1</v>
      </c>
      <c r="R32" s="22">
        <f>_xlfn.XLOOKUP(RiskStatements[[#This Row],[Risk Rating - 2100]],RatingOrder[Rating Order],RatingOrder[Rating Score],0,0)</f>
        <v>1</v>
      </c>
      <c r="S3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33" spans="1:19" hidden="1" x14ac:dyDescent="0.35">
      <c r="A33" s="22" t="s">
        <v>120</v>
      </c>
      <c r="B33" s="22" t="s">
        <v>70</v>
      </c>
      <c r="C33" s="22" t="s">
        <v>136</v>
      </c>
      <c r="D33" s="22" t="str">
        <f>"V - " &amp;RiskStatements[[#This Row],[Climate Variables/Explainers]]</f>
        <v>V - Drought</v>
      </c>
      <c r="E33" s="22" t="str">
        <f>"EP - " &amp;RiskStatements[[#This Row],[Climate Variables/Explainers]]</f>
        <v>EP - Drought</v>
      </c>
      <c r="F33" s="22" t="str">
        <f>"E2050 - " &amp;RiskStatements[[#This Row],[Climate Variables/Explainers]]</f>
        <v>E2050 - Drought</v>
      </c>
      <c r="G33" s="22" t="str">
        <f>"E2100 - " &amp;RiskStatements[[#This Row],[Climate Variables/Explainers]]</f>
        <v>E2100 - Drought</v>
      </c>
      <c r="H33" s="22" t="str" cm="1">
        <f t="array" ref="H33">_xlfn.XLOOKUP(RiskStatements[[#This Row],[Elements at Risk]],Final_VEValues[Elements at Risk],_xlfn.XLOOKUP(RiskStatements[[#This Row],[Vulnerability Header]],Final_VEValues[#Headers],Final_VEValues[]))</f>
        <v>M</v>
      </c>
      <c r="I33" s="22" t="str" cm="1">
        <f t="array" ref="I33">_xlfn.XLOOKUP(RiskStatements[[#This Row],[Elements at Risk]],Final_VEValues[Elements at Risk],_xlfn.XLOOKUP(RiskStatements[[#This Row],[Exposure Present Header]],Final_VEValues[#Headers],Final_VEValues[]))</f>
        <v>L</v>
      </c>
      <c r="J33" s="22" t="str" cm="1">
        <f t="array" ref="J33">_xlfn.XLOOKUP(RiskStatements[[#This Row],[Elements at Risk]],Final_VEValues[Elements at Risk],_xlfn.XLOOKUP(RiskStatements[[#This Row],[Exposure 2050 Header]],Final_VEValues[#Headers],Final_VEValues[]))</f>
        <v>M</v>
      </c>
      <c r="K33" s="22" t="str" cm="1">
        <f t="array" ref="K33">_xlfn.XLOOKUP(RiskStatements[[#This Row],[Elements at Risk]],Final_VEValues[Elements at Risk],_xlfn.XLOOKUP(RiskStatements[[#This Row],[Exposure 2100 Header]],Final_VEValues[#Headers],Final_VEValues[]))</f>
        <v>H</v>
      </c>
      <c r="L33" s="22" t="str">
        <f>_xlfn.CONCAT(RiskStatements[[#This Row],[Climate Variables/Explainers]]," risk to ",RiskStatements[[#This Row],[Elements at Risk]])</f>
        <v>Drought risk to Wastewater Infrastructure</v>
      </c>
      <c r="M33" s="22" t="str" cm="1">
        <f t="array" ref="M33">_xlfn.XLOOKUP(RiskStatements[[#This Row],[Vulnerability Rating]],VEMatrix[Vulnerability],_xlfn.XLOOKUP(RiskStatements[[#This Row],[Exposure Rating - Present]],VEMatrix[#Headers],VEMatrix[]))</f>
        <v>Low</v>
      </c>
      <c r="N33" s="22" t="str" cm="1">
        <f t="array" ref="N33">_xlfn.XLOOKUP(RiskStatements[[#This Row],[Vulnerability Rating]],VEMatrix[Vulnerability],_xlfn.XLOOKUP(RiskStatements[[#This Row],[Exposure Rating - 2050]],VEMatrix[#Headers],VEMatrix[]))</f>
        <v>Moderate</v>
      </c>
      <c r="O33" s="22" t="str" cm="1">
        <f t="array" ref="O33">_xlfn.XLOOKUP(RiskStatements[[#This Row],[Vulnerability Rating]],VEMatrix[Vulnerability],_xlfn.XLOOKUP(RiskStatements[[#This Row],[Exposure Rating - 2100]],VEMatrix[#Headers],VEMatrix[]))</f>
        <v>Moderate</v>
      </c>
      <c r="P33" s="22">
        <f>_xlfn.XLOOKUP(RiskStatements[[#This Row],[Risk Rating - Present]],RatingOrder[Rating Order],RatingOrder[Rating Score],0,0)</f>
        <v>1</v>
      </c>
      <c r="Q33" s="22">
        <f>_xlfn.XLOOKUP(RiskStatements[[#This Row],[Risk Rating - 2050]],RatingOrder[Rating Order],RatingOrder[Rating Score],0,0)</f>
        <v>2</v>
      </c>
      <c r="R33" s="22">
        <f>_xlfn.XLOOKUP(RiskStatements[[#This Row],[Risk Rating - 2100]],RatingOrder[Rating Order],RatingOrder[Rating Score],0,0)</f>
        <v>2</v>
      </c>
      <c r="S3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34" spans="1:19" hidden="1" x14ac:dyDescent="0.35">
      <c r="A34" s="22" t="s">
        <v>120</v>
      </c>
      <c r="B34" s="22" t="s">
        <v>223</v>
      </c>
      <c r="C34" s="22" t="s">
        <v>136</v>
      </c>
      <c r="D34" s="22" t="str">
        <f>"V - " &amp;RiskStatements[[#This Row],[Climate Variables/Explainers]]</f>
        <v>V - Drought</v>
      </c>
      <c r="E34" s="22" t="str">
        <f>"EP - " &amp;RiskStatements[[#This Row],[Climate Variables/Explainers]]</f>
        <v>EP - Drought</v>
      </c>
      <c r="F34" s="22" t="str">
        <f>"E2050 - " &amp;RiskStatements[[#This Row],[Climate Variables/Explainers]]</f>
        <v>E2050 - Drought</v>
      </c>
      <c r="G34" s="22" t="str">
        <f>"E2100 - " &amp;RiskStatements[[#This Row],[Climate Variables/Explainers]]</f>
        <v>E2100 - Drought</v>
      </c>
      <c r="H34" s="22" t="str" cm="1">
        <f t="array" ref="H34">_xlfn.XLOOKUP(RiskStatements[[#This Row],[Elements at Risk]],Final_VEValues[Elements at Risk],_xlfn.XLOOKUP(RiskStatements[[#This Row],[Vulnerability Header]],Final_VEValues[#Headers],Final_VEValues[]))</f>
        <v>M</v>
      </c>
      <c r="I34" s="22" t="str" cm="1">
        <f t="array" ref="I34">_xlfn.XLOOKUP(RiskStatements[[#This Row],[Elements at Risk]],Final_VEValues[Elements at Risk],_xlfn.XLOOKUP(RiskStatements[[#This Row],[Exposure Present Header]],Final_VEValues[#Headers],Final_VEValues[]))</f>
        <v>L</v>
      </c>
      <c r="J34" s="22" t="str" cm="1">
        <f t="array" ref="J34">_xlfn.XLOOKUP(RiskStatements[[#This Row],[Elements at Risk]],Final_VEValues[Elements at Risk],_xlfn.XLOOKUP(RiskStatements[[#This Row],[Exposure 2050 Header]],Final_VEValues[#Headers],Final_VEValues[]))</f>
        <v>L</v>
      </c>
      <c r="K34" s="22" t="str" cm="1">
        <f t="array" ref="K34">_xlfn.XLOOKUP(RiskStatements[[#This Row],[Elements at Risk]],Final_VEValues[Elements at Risk],_xlfn.XLOOKUP(RiskStatements[[#This Row],[Exposure 2100 Header]],Final_VEValues[#Headers],Final_VEValues[]))</f>
        <v>M</v>
      </c>
      <c r="L34" s="22" t="str">
        <f>_xlfn.CONCAT(RiskStatements[[#This Row],[Climate Variables/Explainers]]," risk to ",RiskStatements[[#This Row],[Elements at Risk]])</f>
        <v>Drought risk to Transportation Assets</v>
      </c>
      <c r="M34" s="22" t="str" cm="1">
        <f t="array" ref="M34">_xlfn.XLOOKUP(RiskStatements[[#This Row],[Vulnerability Rating]],VEMatrix[Vulnerability],_xlfn.XLOOKUP(RiskStatements[[#This Row],[Exposure Rating - Present]],VEMatrix[#Headers],VEMatrix[]))</f>
        <v>Low</v>
      </c>
      <c r="N34" s="22" t="str" cm="1">
        <f t="array" ref="N34">_xlfn.XLOOKUP(RiskStatements[[#This Row],[Vulnerability Rating]],VEMatrix[Vulnerability],_xlfn.XLOOKUP(RiskStatements[[#This Row],[Exposure Rating - 2050]],VEMatrix[#Headers],VEMatrix[]))</f>
        <v>Low</v>
      </c>
      <c r="O34" s="22" t="str" cm="1">
        <f t="array" ref="O34">_xlfn.XLOOKUP(RiskStatements[[#This Row],[Vulnerability Rating]],VEMatrix[Vulnerability],_xlfn.XLOOKUP(RiskStatements[[#This Row],[Exposure Rating - 2100]],VEMatrix[#Headers],VEMatrix[]))</f>
        <v>Moderate</v>
      </c>
      <c r="P34" s="22">
        <f>_xlfn.XLOOKUP(RiskStatements[[#This Row],[Risk Rating - Present]],RatingOrder[Rating Order],RatingOrder[Rating Score],0,0)</f>
        <v>1</v>
      </c>
      <c r="Q34" s="22">
        <f>_xlfn.XLOOKUP(RiskStatements[[#This Row],[Risk Rating - 2050]],RatingOrder[Rating Order],RatingOrder[Rating Score],0,0)</f>
        <v>1</v>
      </c>
      <c r="R34" s="22">
        <f>_xlfn.XLOOKUP(RiskStatements[[#This Row],[Risk Rating - 2100]],RatingOrder[Rating Order],RatingOrder[Rating Score],0,0)</f>
        <v>2</v>
      </c>
      <c r="S3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35" spans="1:19" hidden="1" x14ac:dyDescent="0.35">
      <c r="A35" s="22" t="s">
        <v>120</v>
      </c>
      <c r="B35" s="22" t="s">
        <v>122</v>
      </c>
      <c r="C35" s="22" t="s">
        <v>136</v>
      </c>
      <c r="D35" s="22" t="str">
        <f>"V - " &amp;RiskStatements[[#This Row],[Climate Variables/Explainers]]</f>
        <v>V - Drought</v>
      </c>
      <c r="E35" s="22" t="str">
        <f>"EP - " &amp;RiskStatements[[#This Row],[Climate Variables/Explainers]]</f>
        <v>EP - Drought</v>
      </c>
      <c r="F35" s="22" t="str">
        <f>"E2050 - " &amp;RiskStatements[[#This Row],[Climate Variables/Explainers]]</f>
        <v>E2050 - Drought</v>
      </c>
      <c r="G35" s="22" t="str">
        <f>"E2100 - " &amp;RiskStatements[[#This Row],[Climate Variables/Explainers]]</f>
        <v>E2100 - Drought</v>
      </c>
      <c r="H35" s="22" t="str" cm="1">
        <f t="array" ref="H35">_xlfn.XLOOKUP(RiskStatements[[#This Row],[Elements at Risk]],Final_VEValues[Elements at Risk],_xlfn.XLOOKUP(RiskStatements[[#This Row],[Vulnerability Header]],Final_VEValues[#Headers],Final_VEValues[]))</f>
        <v>H</v>
      </c>
      <c r="I35" s="22" t="str" cm="1">
        <f t="array" ref="I35">_xlfn.XLOOKUP(RiskStatements[[#This Row],[Elements at Risk]],Final_VEValues[Elements at Risk],_xlfn.XLOOKUP(RiskStatements[[#This Row],[Exposure Present Header]],Final_VEValues[#Headers],Final_VEValues[]))</f>
        <v>M</v>
      </c>
      <c r="J35" s="22" t="str" cm="1">
        <f t="array" ref="J35">_xlfn.XLOOKUP(RiskStatements[[#This Row],[Elements at Risk]],Final_VEValues[Elements at Risk],_xlfn.XLOOKUP(RiskStatements[[#This Row],[Exposure 2050 Header]],Final_VEValues[#Headers],Final_VEValues[]))</f>
        <v>H</v>
      </c>
      <c r="K35" s="22" t="str" cm="1">
        <f t="array" ref="K35">_xlfn.XLOOKUP(RiskStatements[[#This Row],[Elements at Risk]],Final_VEValues[Elements at Risk],_xlfn.XLOOKUP(RiskStatements[[#This Row],[Exposure 2100 Header]],Final_VEValues[#Headers],Final_VEValues[]))</f>
        <v>E</v>
      </c>
      <c r="L35" s="22" t="str">
        <f>_xlfn.CONCAT(RiskStatements[[#This Row],[Climate Variables/Explainers]]," risk to ",RiskStatements[[#This Row],[Elements at Risk]])</f>
        <v>Drought risk to Water Supply</v>
      </c>
      <c r="M35" s="22" t="str" cm="1">
        <f t="array" ref="M35">_xlfn.XLOOKUP(RiskStatements[[#This Row],[Vulnerability Rating]],VEMatrix[Vulnerability],_xlfn.XLOOKUP(RiskStatements[[#This Row],[Exposure Rating - Present]],VEMatrix[#Headers],VEMatrix[]))</f>
        <v>Moderate</v>
      </c>
      <c r="N35" s="22" t="str" cm="1">
        <f t="array" ref="N35">_xlfn.XLOOKUP(RiskStatements[[#This Row],[Vulnerability Rating]],VEMatrix[Vulnerability],_xlfn.XLOOKUP(RiskStatements[[#This Row],[Exposure Rating - 2050]],VEMatrix[#Headers],VEMatrix[]))</f>
        <v>High</v>
      </c>
      <c r="O35" s="22" t="str" cm="1">
        <f t="array" ref="O35">_xlfn.XLOOKUP(RiskStatements[[#This Row],[Vulnerability Rating]],VEMatrix[Vulnerability],_xlfn.XLOOKUP(RiskStatements[[#This Row],[Exposure Rating - 2100]],VEMatrix[#Headers],VEMatrix[]))</f>
        <v>Extreme</v>
      </c>
      <c r="P35" s="22">
        <f>_xlfn.XLOOKUP(RiskStatements[[#This Row],[Risk Rating - Present]],RatingOrder[Rating Order],RatingOrder[Rating Score],0,0)</f>
        <v>2</v>
      </c>
      <c r="Q35" s="22">
        <f>_xlfn.XLOOKUP(RiskStatements[[#This Row],[Risk Rating - 2050]],RatingOrder[Rating Order],RatingOrder[Rating Score],0,0)</f>
        <v>3</v>
      </c>
      <c r="R35" s="22">
        <f>_xlfn.XLOOKUP(RiskStatements[[#This Row],[Risk Rating - 2100]],RatingOrder[Rating Order],RatingOrder[Rating Score],0,0)</f>
        <v>4</v>
      </c>
      <c r="S3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36" spans="1:19" hidden="1" x14ac:dyDescent="0.35">
      <c r="A36" s="22" t="s">
        <v>120</v>
      </c>
      <c r="B36" s="22" t="s">
        <v>224</v>
      </c>
      <c r="C36" s="22" t="s">
        <v>136</v>
      </c>
      <c r="D36" s="22" t="str">
        <f>"V - " &amp;RiskStatements[[#This Row],[Climate Variables/Explainers]]</f>
        <v>V - Drought</v>
      </c>
      <c r="E36" s="22" t="str">
        <f>"EP - " &amp;RiskStatements[[#This Row],[Climate Variables/Explainers]]</f>
        <v>EP - Drought</v>
      </c>
      <c r="F36" s="22" t="str">
        <f>"E2050 - " &amp;RiskStatements[[#This Row],[Climate Variables/Explainers]]</f>
        <v>E2050 - Drought</v>
      </c>
      <c r="G36" s="22" t="str">
        <f>"E2100 - " &amp;RiskStatements[[#This Row],[Climate Variables/Explainers]]</f>
        <v>E2100 - Drought</v>
      </c>
      <c r="H36" s="22" t="str" cm="1">
        <f t="array" ref="H36">_xlfn.XLOOKUP(RiskStatements[[#This Row],[Elements at Risk]],Final_VEValues[Elements at Risk],_xlfn.XLOOKUP(RiskStatements[[#This Row],[Vulnerability Header]],Final_VEValues[#Headers],Final_VEValues[]))</f>
        <v>M</v>
      </c>
      <c r="I36" s="22" t="str" cm="1">
        <f t="array" ref="I36">_xlfn.XLOOKUP(RiskStatements[[#This Row],[Elements at Risk]],Final_VEValues[Elements at Risk],_xlfn.XLOOKUP(RiskStatements[[#This Row],[Exposure Present Header]],Final_VEValues[#Headers],Final_VEValues[]))</f>
        <v>N/A</v>
      </c>
      <c r="J36" s="22" t="str" cm="1">
        <f t="array" ref="J36">_xlfn.XLOOKUP(RiskStatements[[#This Row],[Elements at Risk]],Final_VEValues[Elements at Risk],_xlfn.XLOOKUP(RiskStatements[[#This Row],[Exposure 2050 Header]],Final_VEValues[#Headers],Final_VEValues[]))</f>
        <v>N/A</v>
      </c>
      <c r="K36" s="22" t="str" cm="1">
        <f t="array" ref="K36">_xlfn.XLOOKUP(RiskStatements[[#This Row],[Elements at Risk]],Final_VEValues[Elements at Risk],_xlfn.XLOOKUP(RiskStatements[[#This Row],[Exposure 2100 Header]],Final_VEValues[#Headers],Final_VEValues[]))</f>
        <v>N/A</v>
      </c>
      <c r="L36" s="22" t="str">
        <f>_xlfn.CONCAT(RiskStatements[[#This Row],[Climate Variables/Explainers]]," risk to ",RiskStatements[[#This Row],[Elements at Risk]])</f>
        <v>Drought risk to Stormwater / Flood Management</v>
      </c>
      <c r="M36" s="22" t="str" cm="1">
        <f t="array" ref="M36">_xlfn.XLOOKUP(RiskStatements[[#This Row],[Vulnerability Rating]],VEMatrix[Vulnerability],_xlfn.XLOOKUP(RiskStatements[[#This Row],[Exposure Rating - Present]],VEMatrix[#Headers],VEMatrix[]))</f>
        <v>N/A</v>
      </c>
      <c r="N36" s="22" t="str" cm="1">
        <f t="array" ref="N36">_xlfn.XLOOKUP(RiskStatements[[#This Row],[Vulnerability Rating]],VEMatrix[Vulnerability],_xlfn.XLOOKUP(RiskStatements[[#This Row],[Exposure Rating - 2050]],VEMatrix[#Headers],VEMatrix[]))</f>
        <v>N/A</v>
      </c>
      <c r="O36" s="22" t="str" cm="1">
        <f t="array" ref="O36">_xlfn.XLOOKUP(RiskStatements[[#This Row],[Vulnerability Rating]],VEMatrix[Vulnerability],_xlfn.XLOOKUP(RiskStatements[[#This Row],[Exposure Rating - 2100]],VEMatrix[#Headers],VEMatrix[]))</f>
        <v>N/A</v>
      </c>
      <c r="P36" s="22">
        <f>_xlfn.XLOOKUP(RiskStatements[[#This Row],[Risk Rating - Present]],RatingOrder[Rating Order],RatingOrder[Rating Score],0,0)</f>
        <v>0</v>
      </c>
      <c r="Q36" s="22">
        <f>_xlfn.XLOOKUP(RiskStatements[[#This Row],[Risk Rating - 2050]],RatingOrder[Rating Order],RatingOrder[Rating Score],0,0)</f>
        <v>0</v>
      </c>
      <c r="R36" s="22">
        <f>_xlfn.XLOOKUP(RiskStatements[[#This Row],[Risk Rating - 2100]],RatingOrder[Rating Order],RatingOrder[Rating Score],0,0)</f>
        <v>0</v>
      </c>
      <c r="S3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37" spans="1:19" hidden="1" x14ac:dyDescent="0.35">
      <c r="A37" s="22" t="s">
        <v>120</v>
      </c>
      <c r="B37" s="22" t="s">
        <v>212</v>
      </c>
      <c r="C37" s="22" t="s">
        <v>136</v>
      </c>
      <c r="D37" s="22" t="str">
        <f>"V - " &amp;RiskStatements[[#This Row],[Climate Variables/Explainers]]</f>
        <v>V - Drought</v>
      </c>
      <c r="E37" s="22" t="str">
        <f>"EP - " &amp;RiskStatements[[#This Row],[Climate Variables/Explainers]]</f>
        <v>EP - Drought</v>
      </c>
      <c r="F37" s="22" t="str">
        <f>"E2050 - " &amp;RiskStatements[[#This Row],[Climate Variables/Explainers]]</f>
        <v>E2050 - Drought</v>
      </c>
      <c r="G37" s="22" t="str">
        <f>"E2100 - " &amp;RiskStatements[[#This Row],[Climate Variables/Explainers]]</f>
        <v>E2100 - Drought</v>
      </c>
      <c r="H37" s="22" t="str" cm="1">
        <f t="array" ref="H37">_xlfn.XLOOKUP(RiskStatements[[#This Row],[Elements at Risk]],Final_VEValues[Elements at Risk],_xlfn.XLOOKUP(RiskStatements[[#This Row],[Vulnerability Header]],Final_VEValues[#Headers],Final_VEValues[]))</f>
        <v>M</v>
      </c>
      <c r="I37" s="22" t="str" cm="1">
        <f t="array" ref="I37">_xlfn.XLOOKUP(RiskStatements[[#This Row],[Elements at Risk]],Final_VEValues[Elements at Risk],_xlfn.XLOOKUP(RiskStatements[[#This Row],[Exposure Present Header]],Final_VEValues[#Headers],Final_VEValues[]))</f>
        <v>M</v>
      </c>
      <c r="J37" s="22" t="str" cm="1">
        <f t="array" ref="J37">_xlfn.XLOOKUP(RiskStatements[[#This Row],[Elements at Risk]],Final_VEValues[Elements at Risk],_xlfn.XLOOKUP(RiskStatements[[#This Row],[Exposure 2050 Header]],Final_VEValues[#Headers],Final_VEValues[]))</f>
        <v>H</v>
      </c>
      <c r="K37" s="22" t="str" cm="1">
        <f t="array" ref="K37">_xlfn.XLOOKUP(RiskStatements[[#This Row],[Elements at Risk]],Final_VEValues[Elements at Risk],_xlfn.XLOOKUP(RiskStatements[[#This Row],[Exposure 2100 Header]],Final_VEValues[#Headers],Final_VEValues[]))</f>
        <v>E</v>
      </c>
      <c r="L37" s="22" t="str">
        <f>_xlfn.CONCAT(RiskStatements[[#This Row],[Climate Variables/Explainers]]," risk to ",RiskStatements[[#This Row],[Elements at Risk]])</f>
        <v>Drought risk to Uninhabited Buildings</v>
      </c>
      <c r="M37" s="22" t="str" cm="1">
        <f t="array" ref="M37">_xlfn.XLOOKUP(RiskStatements[[#This Row],[Vulnerability Rating]],VEMatrix[Vulnerability],_xlfn.XLOOKUP(RiskStatements[[#This Row],[Exposure Rating - Present]],VEMatrix[#Headers],VEMatrix[]))</f>
        <v>Moderate</v>
      </c>
      <c r="N37" s="22" t="str" cm="1">
        <f t="array" ref="N37">_xlfn.XLOOKUP(RiskStatements[[#This Row],[Vulnerability Rating]],VEMatrix[Vulnerability],_xlfn.XLOOKUP(RiskStatements[[#This Row],[Exposure Rating - 2050]],VEMatrix[#Headers],VEMatrix[]))</f>
        <v>Moderate</v>
      </c>
      <c r="O37" s="22" t="str" cm="1">
        <f t="array" ref="O37">_xlfn.XLOOKUP(RiskStatements[[#This Row],[Vulnerability Rating]],VEMatrix[Vulnerability],_xlfn.XLOOKUP(RiskStatements[[#This Row],[Exposure Rating - 2100]],VEMatrix[#Headers],VEMatrix[]))</f>
        <v>High</v>
      </c>
      <c r="P37" s="22">
        <f>_xlfn.XLOOKUP(RiskStatements[[#This Row],[Risk Rating - Present]],RatingOrder[Rating Order],RatingOrder[Rating Score],0,0)</f>
        <v>2</v>
      </c>
      <c r="Q37" s="22">
        <f>_xlfn.XLOOKUP(RiskStatements[[#This Row],[Risk Rating - 2050]],RatingOrder[Rating Order],RatingOrder[Rating Score],0,0)</f>
        <v>2</v>
      </c>
      <c r="R37" s="22">
        <f>_xlfn.XLOOKUP(RiskStatements[[#This Row],[Risk Rating - 2100]],RatingOrder[Rating Order],RatingOrder[Rating Score],0,0)</f>
        <v>3</v>
      </c>
      <c r="S3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38" spans="1:19" hidden="1" x14ac:dyDescent="0.35">
      <c r="A38" s="22" t="s">
        <v>120</v>
      </c>
      <c r="B38" s="22" t="s">
        <v>74</v>
      </c>
      <c r="C38" s="22" t="s">
        <v>136</v>
      </c>
      <c r="D38" s="22" t="str">
        <f>"V - " &amp;RiskStatements[[#This Row],[Climate Variables/Explainers]]</f>
        <v>V - Drought</v>
      </c>
      <c r="E38" s="22" t="str">
        <f>"EP - " &amp;RiskStatements[[#This Row],[Climate Variables/Explainers]]</f>
        <v>EP - Drought</v>
      </c>
      <c r="F38" s="22" t="str">
        <f>"E2050 - " &amp;RiskStatements[[#This Row],[Climate Variables/Explainers]]</f>
        <v>E2050 - Drought</v>
      </c>
      <c r="G38" s="22" t="str">
        <f>"E2100 - " &amp;RiskStatements[[#This Row],[Climate Variables/Explainers]]</f>
        <v>E2100 - Drought</v>
      </c>
      <c r="H38" s="22" t="str" cm="1">
        <f t="array" ref="H38">_xlfn.XLOOKUP(RiskStatements[[#This Row],[Elements at Risk]],Final_VEValues[Elements at Risk],_xlfn.XLOOKUP(RiskStatements[[#This Row],[Vulnerability Header]],Final_VEValues[#Headers],Final_VEValues[]))</f>
        <v>N/A</v>
      </c>
      <c r="I38" s="22" t="str" cm="1">
        <f t="array" ref="I38">_xlfn.XLOOKUP(RiskStatements[[#This Row],[Elements at Risk]],Final_VEValues[Elements at Risk],_xlfn.XLOOKUP(RiskStatements[[#This Row],[Exposure Present Header]],Final_VEValues[#Headers],Final_VEValues[]))</f>
        <v>N/A</v>
      </c>
      <c r="J38" s="22" t="str" cm="1">
        <f t="array" ref="J38">_xlfn.XLOOKUP(RiskStatements[[#This Row],[Elements at Risk]],Final_VEValues[Elements at Risk],_xlfn.XLOOKUP(RiskStatements[[#This Row],[Exposure 2050 Header]],Final_VEValues[#Headers],Final_VEValues[]))</f>
        <v>N/A</v>
      </c>
      <c r="K38" s="22" t="str" cm="1">
        <f t="array" ref="K38">_xlfn.XLOOKUP(RiskStatements[[#This Row],[Elements at Risk]],Final_VEValues[Elements at Risk],_xlfn.XLOOKUP(RiskStatements[[#This Row],[Exposure 2100 Header]],Final_VEValues[#Headers],Final_VEValues[]))</f>
        <v>N/A</v>
      </c>
      <c r="L38" s="22" t="str">
        <f>_xlfn.CONCAT(RiskStatements[[#This Row],[Climate Variables/Explainers]]," risk to ",RiskStatements[[#This Row],[Elements at Risk]])</f>
        <v>Drought risk to Evacuation Structures</v>
      </c>
      <c r="M38" s="22" t="str" cm="1">
        <f t="array" ref="M38">_xlfn.XLOOKUP(RiskStatements[[#This Row],[Vulnerability Rating]],VEMatrix[Vulnerability],_xlfn.XLOOKUP(RiskStatements[[#This Row],[Exposure Rating - Present]],VEMatrix[#Headers],VEMatrix[]))</f>
        <v>N/A</v>
      </c>
      <c r="N38" s="22" t="str" cm="1">
        <f t="array" ref="N38">_xlfn.XLOOKUP(RiskStatements[[#This Row],[Vulnerability Rating]],VEMatrix[Vulnerability],_xlfn.XLOOKUP(RiskStatements[[#This Row],[Exposure Rating - 2050]],VEMatrix[#Headers],VEMatrix[]))</f>
        <v>N/A</v>
      </c>
      <c r="O38" s="22" t="str" cm="1">
        <f t="array" ref="O38">_xlfn.XLOOKUP(RiskStatements[[#This Row],[Vulnerability Rating]],VEMatrix[Vulnerability],_xlfn.XLOOKUP(RiskStatements[[#This Row],[Exposure Rating - 2100]],VEMatrix[#Headers],VEMatrix[]))</f>
        <v>N/A</v>
      </c>
      <c r="P38" s="22">
        <f>_xlfn.XLOOKUP(RiskStatements[[#This Row],[Risk Rating - Present]],RatingOrder[Rating Order],RatingOrder[Rating Score],0,0)</f>
        <v>0</v>
      </c>
      <c r="Q38" s="22">
        <f>_xlfn.XLOOKUP(RiskStatements[[#This Row],[Risk Rating - 2050]],RatingOrder[Rating Order],RatingOrder[Rating Score],0,0)</f>
        <v>0</v>
      </c>
      <c r="R38" s="22">
        <f>_xlfn.XLOOKUP(RiskStatements[[#This Row],[Risk Rating - 2100]],RatingOrder[Rating Order],RatingOrder[Rating Score],0,0)</f>
        <v>0</v>
      </c>
      <c r="S3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39" spans="1:19" hidden="1" x14ac:dyDescent="0.35">
      <c r="A39" s="22" t="s">
        <v>46</v>
      </c>
      <c r="B39" s="22" t="s">
        <v>227</v>
      </c>
      <c r="C39" s="22" t="s">
        <v>136</v>
      </c>
      <c r="D39" s="22" t="str">
        <f>"V - " &amp;RiskStatements[[#This Row],[Climate Variables/Explainers]]</f>
        <v>V - Drought</v>
      </c>
      <c r="E39" s="22" t="str">
        <f>"EP - " &amp;RiskStatements[[#This Row],[Climate Variables/Explainers]]</f>
        <v>EP - Drought</v>
      </c>
      <c r="F39" s="22" t="str">
        <f>"E2050 - " &amp;RiskStatements[[#This Row],[Climate Variables/Explainers]]</f>
        <v>E2050 - Drought</v>
      </c>
      <c r="G39" s="22" t="str">
        <f>"E2100 - " &amp;RiskStatements[[#This Row],[Climate Variables/Explainers]]</f>
        <v>E2100 - Drought</v>
      </c>
      <c r="H39" s="22" t="str" cm="1">
        <f t="array" ref="H39">_xlfn.XLOOKUP(RiskStatements[[#This Row],[Elements at Risk]],Final_VEValues[Elements at Risk],_xlfn.XLOOKUP(RiskStatements[[#This Row],[Vulnerability Header]],Final_VEValues[#Headers],Final_VEValues[]))</f>
        <v>H</v>
      </c>
      <c r="I39" s="22" t="str" cm="1">
        <f t="array" ref="I39">_xlfn.XLOOKUP(RiskStatements[[#This Row],[Elements at Risk]],Final_VEValues[Elements at Risk],_xlfn.XLOOKUP(RiskStatements[[#This Row],[Exposure Present Header]],Final_VEValues[#Headers],Final_VEValues[]))</f>
        <v>M</v>
      </c>
      <c r="J39" s="22" t="str" cm="1">
        <f t="array" ref="J39">_xlfn.XLOOKUP(RiskStatements[[#This Row],[Elements at Risk]],Final_VEValues[Elements at Risk],_xlfn.XLOOKUP(RiskStatements[[#This Row],[Exposure 2050 Header]],Final_VEValues[#Headers],Final_VEValues[]))</f>
        <v>H</v>
      </c>
      <c r="K39" s="22" t="str" cm="1">
        <f t="array" ref="K39">_xlfn.XLOOKUP(RiskStatements[[#This Row],[Elements at Risk]],Final_VEValues[Elements at Risk],_xlfn.XLOOKUP(RiskStatements[[#This Row],[Exposure 2100 Header]],Final_VEValues[#Headers],Final_VEValues[]))</f>
        <v>E</v>
      </c>
      <c r="L39" s="22" t="str">
        <f>_xlfn.CONCAT(RiskStatements[[#This Row],[Climate Variables/Explainers]]," risk to ",RiskStatements[[#This Row],[Elements at Risk]])</f>
        <v>Drought risk to Outdoor Land Activities</v>
      </c>
      <c r="M39" s="22" t="str" cm="1">
        <f t="array" ref="M39">_xlfn.XLOOKUP(RiskStatements[[#This Row],[Vulnerability Rating]],VEMatrix[Vulnerability],_xlfn.XLOOKUP(RiskStatements[[#This Row],[Exposure Rating - Present]],VEMatrix[#Headers],VEMatrix[]))</f>
        <v>Moderate</v>
      </c>
      <c r="N39" s="22" t="str" cm="1">
        <f t="array" ref="N39">_xlfn.XLOOKUP(RiskStatements[[#This Row],[Vulnerability Rating]],VEMatrix[Vulnerability],_xlfn.XLOOKUP(RiskStatements[[#This Row],[Exposure Rating - 2050]],VEMatrix[#Headers],VEMatrix[]))</f>
        <v>High</v>
      </c>
      <c r="O39" s="22" t="str" cm="1">
        <f t="array" ref="O39">_xlfn.XLOOKUP(RiskStatements[[#This Row],[Vulnerability Rating]],VEMatrix[Vulnerability],_xlfn.XLOOKUP(RiskStatements[[#This Row],[Exposure Rating - 2100]],VEMatrix[#Headers],VEMatrix[]))</f>
        <v>Extreme</v>
      </c>
      <c r="P39" s="22">
        <f>_xlfn.XLOOKUP(RiskStatements[[#This Row],[Risk Rating - Present]],RatingOrder[Rating Order],RatingOrder[Rating Score],0,0)</f>
        <v>2</v>
      </c>
      <c r="Q39" s="22">
        <f>_xlfn.XLOOKUP(RiskStatements[[#This Row],[Risk Rating - 2050]],RatingOrder[Rating Order],RatingOrder[Rating Score],0,0)</f>
        <v>3</v>
      </c>
      <c r="R39" s="22">
        <f>_xlfn.XLOOKUP(RiskStatements[[#This Row],[Risk Rating - 2100]],RatingOrder[Rating Order],RatingOrder[Rating Score],0,0)</f>
        <v>4</v>
      </c>
      <c r="S3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40" spans="1:19" hidden="1" x14ac:dyDescent="0.35">
      <c r="A40" s="22" t="s">
        <v>46</v>
      </c>
      <c r="B40" s="22" t="s">
        <v>226</v>
      </c>
      <c r="C40" s="22" t="s">
        <v>136</v>
      </c>
      <c r="D40" s="22" t="str">
        <f>"V - " &amp;RiskStatements[[#This Row],[Climate Variables/Explainers]]</f>
        <v>V - Drought</v>
      </c>
      <c r="E40" s="22" t="str">
        <f>"EP - " &amp;RiskStatements[[#This Row],[Climate Variables/Explainers]]</f>
        <v>EP - Drought</v>
      </c>
      <c r="F40" s="22" t="str">
        <f>"E2050 - " &amp;RiskStatements[[#This Row],[Climate Variables/Explainers]]</f>
        <v>E2050 - Drought</v>
      </c>
      <c r="G40" s="22" t="str">
        <f>"E2100 - " &amp;RiskStatements[[#This Row],[Climate Variables/Explainers]]</f>
        <v>E2100 - Drought</v>
      </c>
      <c r="H40" s="22" t="str" cm="1">
        <f t="array" ref="H40">_xlfn.XLOOKUP(RiskStatements[[#This Row],[Elements at Risk]],Final_VEValues[Elements at Risk],_xlfn.XLOOKUP(RiskStatements[[#This Row],[Vulnerability Header]],Final_VEValues[#Headers],Final_VEValues[]))</f>
        <v>L</v>
      </c>
      <c r="I40" s="22" t="str" cm="1">
        <f t="array" ref="I40">_xlfn.XLOOKUP(RiskStatements[[#This Row],[Elements at Risk]],Final_VEValues[Elements at Risk],_xlfn.XLOOKUP(RiskStatements[[#This Row],[Exposure Present Header]],Final_VEValues[#Headers],Final_VEValues[]))</f>
        <v>L</v>
      </c>
      <c r="J40" s="22" t="str" cm="1">
        <f t="array" ref="J40">_xlfn.XLOOKUP(RiskStatements[[#This Row],[Elements at Risk]],Final_VEValues[Elements at Risk],_xlfn.XLOOKUP(RiskStatements[[#This Row],[Exposure 2050 Header]],Final_VEValues[#Headers],Final_VEValues[]))</f>
        <v>L</v>
      </c>
      <c r="K40" s="22" t="str" cm="1">
        <f t="array" ref="K40">_xlfn.XLOOKUP(RiskStatements[[#This Row],[Elements at Risk]],Final_VEValues[Elements at Risk],_xlfn.XLOOKUP(RiskStatements[[#This Row],[Exposure 2100 Header]],Final_VEValues[#Headers],Final_VEValues[]))</f>
        <v>L</v>
      </c>
      <c r="L40" s="22" t="str">
        <f>_xlfn.CONCAT(RiskStatements[[#This Row],[Climate Variables/Explainers]]," risk to ",RiskStatements[[#This Row],[Elements at Risk]])</f>
        <v>Drought risk to Outdoor Marine Activities</v>
      </c>
      <c r="M40" s="22" t="str" cm="1">
        <f t="array" ref="M40">_xlfn.XLOOKUP(RiskStatements[[#This Row],[Vulnerability Rating]],VEMatrix[Vulnerability],_xlfn.XLOOKUP(RiskStatements[[#This Row],[Exposure Rating - Present]],VEMatrix[#Headers],VEMatrix[]))</f>
        <v>Low</v>
      </c>
      <c r="N40" s="22" t="str" cm="1">
        <f t="array" ref="N40">_xlfn.XLOOKUP(RiskStatements[[#This Row],[Vulnerability Rating]],VEMatrix[Vulnerability],_xlfn.XLOOKUP(RiskStatements[[#This Row],[Exposure Rating - 2050]],VEMatrix[#Headers],VEMatrix[]))</f>
        <v>Low</v>
      </c>
      <c r="O40" s="22" t="str" cm="1">
        <f t="array" ref="O40">_xlfn.XLOOKUP(RiskStatements[[#This Row],[Vulnerability Rating]],VEMatrix[Vulnerability],_xlfn.XLOOKUP(RiskStatements[[#This Row],[Exposure Rating - 2100]],VEMatrix[#Headers],VEMatrix[]))</f>
        <v>Low</v>
      </c>
      <c r="P40" s="22">
        <f>_xlfn.XLOOKUP(RiskStatements[[#This Row],[Risk Rating - Present]],RatingOrder[Rating Order],RatingOrder[Rating Score],0,0)</f>
        <v>1</v>
      </c>
      <c r="Q40" s="22">
        <f>_xlfn.XLOOKUP(RiskStatements[[#This Row],[Risk Rating - 2050]],RatingOrder[Rating Order],RatingOrder[Rating Score],0,0)</f>
        <v>1</v>
      </c>
      <c r="R40" s="22">
        <f>_xlfn.XLOOKUP(RiskStatements[[#This Row],[Risk Rating - 2100]],RatingOrder[Rating Order],RatingOrder[Rating Score],0,0)</f>
        <v>1</v>
      </c>
      <c r="S4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41" spans="1:19" hidden="1" x14ac:dyDescent="0.35">
      <c r="A41" s="22" t="s">
        <v>46</v>
      </c>
      <c r="B41" s="22" t="s">
        <v>225</v>
      </c>
      <c r="C41" s="22" t="s">
        <v>136</v>
      </c>
      <c r="D41" s="22" t="str">
        <f>"V - " &amp;RiskStatements[[#This Row],[Climate Variables/Explainers]]</f>
        <v>V - Drought</v>
      </c>
      <c r="E41" s="22" t="str">
        <f>"EP - " &amp;RiskStatements[[#This Row],[Climate Variables/Explainers]]</f>
        <v>EP - Drought</v>
      </c>
      <c r="F41" s="22" t="str">
        <f>"E2050 - " &amp;RiskStatements[[#This Row],[Climate Variables/Explainers]]</f>
        <v>E2050 - Drought</v>
      </c>
      <c r="G41" s="22" t="str">
        <f>"E2100 - " &amp;RiskStatements[[#This Row],[Climate Variables/Explainers]]</f>
        <v>E2100 - Drought</v>
      </c>
      <c r="H41" s="22" t="str" cm="1">
        <f t="array" ref="H41">_xlfn.XLOOKUP(RiskStatements[[#This Row],[Elements at Risk]],Final_VEValues[Elements at Risk],_xlfn.XLOOKUP(RiskStatements[[#This Row],[Vulnerability Header]],Final_VEValues[#Headers],Final_VEValues[]))</f>
        <v>H</v>
      </c>
      <c r="I41" s="22" t="str" cm="1">
        <f t="array" ref="I41">_xlfn.XLOOKUP(RiskStatements[[#This Row],[Elements at Risk]],Final_VEValues[Elements at Risk],_xlfn.XLOOKUP(RiskStatements[[#This Row],[Exposure Present Header]],Final_VEValues[#Headers],Final_VEValues[]))</f>
        <v>M</v>
      </c>
      <c r="J41" s="22" t="str" cm="1">
        <f t="array" ref="J41">_xlfn.XLOOKUP(RiskStatements[[#This Row],[Elements at Risk]],Final_VEValues[Elements at Risk],_xlfn.XLOOKUP(RiskStatements[[#This Row],[Exposure 2050 Header]],Final_VEValues[#Headers],Final_VEValues[]))</f>
        <v>H</v>
      </c>
      <c r="K41" s="22" t="str" cm="1">
        <f t="array" ref="K41">_xlfn.XLOOKUP(RiskStatements[[#This Row],[Elements at Risk]],Final_VEValues[Elements at Risk],_xlfn.XLOOKUP(RiskStatements[[#This Row],[Exposure 2100 Header]],Final_VEValues[#Headers],Final_VEValues[]))</f>
        <v>E</v>
      </c>
      <c r="L41" s="22" t="str">
        <f>_xlfn.CONCAT(RiskStatements[[#This Row],[Climate Variables/Explainers]]," risk to ",RiskStatements[[#This Row],[Elements at Risk]])</f>
        <v>Drought risk to Outdoor Freshwater Activities</v>
      </c>
      <c r="M41" s="22" t="str" cm="1">
        <f t="array" ref="M41">_xlfn.XLOOKUP(RiskStatements[[#This Row],[Vulnerability Rating]],VEMatrix[Vulnerability],_xlfn.XLOOKUP(RiskStatements[[#This Row],[Exposure Rating - Present]],VEMatrix[#Headers],VEMatrix[]))</f>
        <v>Moderate</v>
      </c>
      <c r="N41" s="22" t="str" cm="1">
        <f t="array" ref="N41">_xlfn.XLOOKUP(RiskStatements[[#This Row],[Vulnerability Rating]],VEMatrix[Vulnerability],_xlfn.XLOOKUP(RiskStatements[[#This Row],[Exposure Rating - 2050]],VEMatrix[#Headers],VEMatrix[]))</f>
        <v>High</v>
      </c>
      <c r="O41" s="22" t="str" cm="1">
        <f t="array" ref="O41">_xlfn.XLOOKUP(RiskStatements[[#This Row],[Vulnerability Rating]],VEMatrix[Vulnerability],_xlfn.XLOOKUP(RiskStatements[[#This Row],[Exposure Rating - 2100]],VEMatrix[#Headers],VEMatrix[]))</f>
        <v>Extreme</v>
      </c>
      <c r="P41" s="22">
        <f>_xlfn.XLOOKUP(RiskStatements[[#This Row],[Risk Rating - Present]],RatingOrder[Rating Order],RatingOrder[Rating Score],0,0)</f>
        <v>2</v>
      </c>
      <c r="Q41" s="22">
        <f>_xlfn.XLOOKUP(RiskStatements[[#This Row],[Risk Rating - 2050]],RatingOrder[Rating Order],RatingOrder[Rating Score],0,0)</f>
        <v>3</v>
      </c>
      <c r="R41" s="22">
        <f>_xlfn.XLOOKUP(RiskStatements[[#This Row],[Risk Rating - 2100]],RatingOrder[Rating Order],RatingOrder[Rating Score],0,0)</f>
        <v>4</v>
      </c>
      <c r="S4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42" spans="1:19" hidden="1" x14ac:dyDescent="0.35">
      <c r="A42" s="22" t="s">
        <v>46</v>
      </c>
      <c r="B42" s="22" t="s">
        <v>79</v>
      </c>
      <c r="C42" s="22" t="s">
        <v>136</v>
      </c>
      <c r="D42" s="22" t="str">
        <f>"V - " &amp;RiskStatements[[#This Row],[Climate Variables/Explainers]]</f>
        <v>V - Drought</v>
      </c>
      <c r="E42" s="22" t="str">
        <f>"EP - " &amp;RiskStatements[[#This Row],[Climate Variables/Explainers]]</f>
        <v>EP - Drought</v>
      </c>
      <c r="F42" s="22" t="str">
        <f>"E2050 - " &amp;RiskStatements[[#This Row],[Climate Variables/Explainers]]</f>
        <v>E2050 - Drought</v>
      </c>
      <c r="G42" s="22" t="str">
        <f>"E2100 - " &amp;RiskStatements[[#This Row],[Climate Variables/Explainers]]</f>
        <v>E2100 - Drought</v>
      </c>
      <c r="H42" s="22" t="str" cm="1">
        <f t="array" ref="H42">_xlfn.XLOOKUP(RiskStatements[[#This Row],[Elements at Risk]],Final_VEValues[Elements at Risk],_xlfn.XLOOKUP(RiskStatements[[#This Row],[Vulnerability Header]],Final_VEValues[#Headers],Final_VEValues[]))</f>
        <v>L</v>
      </c>
      <c r="I42" s="22" t="str" cm="1">
        <f t="array" ref="I42">_xlfn.XLOOKUP(RiskStatements[[#This Row],[Elements at Risk]],Final_VEValues[Elements at Risk],_xlfn.XLOOKUP(RiskStatements[[#This Row],[Exposure Present Header]],Final_VEValues[#Headers],Final_VEValues[]))</f>
        <v>L</v>
      </c>
      <c r="J42" s="22" t="str" cm="1">
        <f t="array" ref="J42">_xlfn.XLOOKUP(RiskStatements[[#This Row],[Elements at Risk]],Final_VEValues[Elements at Risk],_xlfn.XLOOKUP(RiskStatements[[#This Row],[Exposure 2050 Header]],Final_VEValues[#Headers],Final_VEValues[]))</f>
        <v>L</v>
      </c>
      <c r="K42" s="22" t="str" cm="1">
        <f t="array" ref="K42">_xlfn.XLOOKUP(RiskStatements[[#This Row],[Elements at Risk]],Final_VEValues[Elements at Risk],_xlfn.XLOOKUP(RiskStatements[[#This Row],[Exposure 2100 Header]],Final_VEValues[#Headers],Final_VEValues[]))</f>
        <v>L</v>
      </c>
      <c r="L42" s="22" t="str">
        <f>_xlfn.CONCAT(RiskStatements[[#This Row],[Climate Variables/Explainers]]," risk to ",RiskStatements[[#This Row],[Elements at Risk]])</f>
        <v>Drought risk to Outdoor Coastal Activities</v>
      </c>
      <c r="M42" s="22" t="str" cm="1">
        <f t="array" ref="M42">_xlfn.XLOOKUP(RiskStatements[[#This Row],[Vulnerability Rating]],VEMatrix[Vulnerability],_xlfn.XLOOKUP(RiskStatements[[#This Row],[Exposure Rating - Present]],VEMatrix[#Headers],VEMatrix[]))</f>
        <v>Low</v>
      </c>
      <c r="N42" s="22" t="str" cm="1">
        <f t="array" ref="N42">_xlfn.XLOOKUP(RiskStatements[[#This Row],[Vulnerability Rating]],VEMatrix[Vulnerability],_xlfn.XLOOKUP(RiskStatements[[#This Row],[Exposure Rating - 2050]],VEMatrix[#Headers],VEMatrix[]))</f>
        <v>Low</v>
      </c>
      <c r="O42" s="22" t="str" cm="1">
        <f t="array" ref="O42">_xlfn.XLOOKUP(RiskStatements[[#This Row],[Vulnerability Rating]],VEMatrix[Vulnerability],_xlfn.XLOOKUP(RiskStatements[[#This Row],[Exposure Rating - 2100]],VEMatrix[#Headers],VEMatrix[]))</f>
        <v>Low</v>
      </c>
      <c r="P42" s="22">
        <f>_xlfn.XLOOKUP(RiskStatements[[#This Row],[Risk Rating - Present]],RatingOrder[Rating Order],RatingOrder[Rating Score],0,0)</f>
        <v>1</v>
      </c>
      <c r="Q42" s="22">
        <f>_xlfn.XLOOKUP(RiskStatements[[#This Row],[Risk Rating - 2050]],RatingOrder[Rating Order],RatingOrder[Rating Score],0,0)</f>
        <v>1</v>
      </c>
      <c r="R42" s="22">
        <f>_xlfn.XLOOKUP(RiskStatements[[#This Row],[Risk Rating - 2100]],RatingOrder[Rating Order],RatingOrder[Rating Score],0,0)</f>
        <v>1</v>
      </c>
      <c r="S4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43" spans="1:19" hidden="1" x14ac:dyDescent="0.35">
      <c r="A43" s="22" t="s">
        <v>46</v>
      </c>
      <c r="B43" s="175" t="s">
        <v>443</v>
      </c>
      <c r="C43" s="22" t="s">
        <v>136</v>
      </c>
      <c r="D43" s="22" t="str">
        <f>"V - " &amp;RiskStatements[[#This Row],[Climate Variables/Explainers]]</f>
        <v>V - Drought</v>
      </c>
      <c r="E43" s="22" t="str">
        <f>"EP - " &amp;RiskStatements[[#This Row],[Climate Variables/Explainers]]</f>
        <v>EP - Drought</v>
      </c>
      <c r="F43" s="22" t="str">
        <f>"E2050 - " &amp;RiskStatements[[#This Row],[Climate Variables/Explainers]]</f>
        <v>E2050 - Drought</v>
      </c>
      <c r="G43" s="22" t="str">
        <f>"E2100 - " &amp;RiskStatements[[#This Row],[Climate Variables/Explainers]]</f>
        <v>E2100 - Drought</v>
      </c>
      <c r="H43" s="22" t="str" cm="1">
        <f t="array" ref="H43">_xlfn.XLOOKUP(RiskStatements[[#This Row],[Elements at Risk]],Final_VEValues[Elements at Risk],_xlfn.XLOOKUP(RiskStatements[[#This Row],[Vulnerability Header]],Final_VEValues[#Headers],Final_VEValues[]))</f>
        <v>L</v>
      </c>
      <c r="I43" s="22" t="str" cm="1">
        <f t="array" ref="I43">_xlfn.XLOOKUP(RiskStatements[[#This Row],[Elements at Risk]],Final_VEValues[Elements at Risk],_xlfn.XLOOKUP(RiskStatements[[#This Row],[Exposure Present Header]],Final_VEValues[#Headers],Final_VEValues[]))</f>
        <v>L</v>
      </c>
      <c r="J43" s="22" t="str" cm="1">
        <f t="array" ref="J43">_xlfn.XLOOKUP(RiskStatements[[#This Row],[Elements at Risk]],Final_VEValues[Elements at Risk],_xlfn.XLOOKUP(RiskStatements[[#This Row],[Exposure 2050 Header]],Final_VEValues[#Headers],Final_VEValues[]))</f>
        <v>M</v>
      </c>
      <c r="K43" s="22" t="str" cm="1">
        <f t="array" ref="K43">_xlfn.XLOOKUP(RiskStatements[[#This Row],[Elements at Risk]],Final_VEValues[Elements at Risk],_xlfn.XLOOKUP(RiskStatements[[#This Row],[Exposure 2100 Header]],Final_VEValues[#Headers],Final_VEValues[]))</f>
        <v>H</v>
      </c>
      <c r="L43" s="22" t="str">
        <f>_xlfn.CONCAT(RiskStatements[[#This Row],[Climate Variables/Explainers]]," risk to ",RiskStatements[[#This Row],[Elements at Risk]])</f>
        <v>Drought risk to Land Transportation Activities</v>
      </c>
      <c r="M43" s="22" t="str" cm="1">
        <f t="array" ref="M43">_xlfn.XLOOKUP(RiskStatements[[#This Row],[Vulnerability Rating]],VEMatrix[Vulnerability],_xlfn.XLOOKUP(RiskStatements[[#This Row],[Exposure Rating - Present]],VEMatrix[#Headers],VEMatrix[]))</f>
        <v>Low</v>
      </c>
      <c r="N43" s="22" t="str" cm="1">
        <f t="array" ref="N43">_xlfn.XLOOKUP(RiskStatements[[#This Row],[Vulnerability Rating]],VEMatrix[Vulnerability],_xlfn.XLOOKUP(RiskStatements[[#This Row],[Exposure Rating - 2050]],VEMatrix[#Headers],VEMatrix[]))</f>
        <v>Low</v>
      </c>
      <c r="O43" s="22" t="str" cm="1">
        <f t="array" ref="O43">_xlfn.XLOOKUP(RiskStatements[[#This Row],[Vulnerability Rating]],VEMatrix[Vulnerability],_xlfn.XLOOKUP(RiskStatements[[#This Row],[Exposure Rating - 2100]],VEMatrix[#Headers],VEMatrix[]))</f>
        <v>Moderate</v>
      </c>
      <c r="P43" s="22">
        <f>_xlfn.XLOOKUP(RiskStatements[[#This Row],[Risk Rating - Present]],RatingOrder[Rating Order],RatingOrder[Rating Score],0,0)</f>
        <v>1</v>
      </c>
      <c r="Q43" s="22">
        <f>_xlfn.XLOOKUP(RiskStatements[[#This Row],[Risk Rating - 2050]],RatingOrder[Rating Order],RatingOrder[Rating Score],0,0)</f>
        <v>1</v>
      </c>
      <c r="R43" s="22">
        <f>_xlfn.XLOOKUP(RiskStatements[[#This Row],[Risk Rating - 2100]],RatingOrder[Rating Order],RatingOrder[Rating Score],0,0)</f>
        <v>2</v>
      </c>
      <c r="S4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44" spans="1:19" hidden="1" x14ac:dyDescent="0.35">
      <c r="A44" s="22" t="s">
        <v>46</v>
      </c>
      <c r="B44" s="22" t="s">
        <v>222</v>
      </c>
      <c r="C44" s="22" t="s">
        <v>136</v>
      </c>
      <c r="D44" s="22" t="str">
        <f>"V - " &amp;RiskStatements[[#This Row],[Climate Variables/Explainers]]</f>
        <v>V - Drought</v>
      </c>
      <c r="E44" s="22" t="str">
        <f>"EP - " &amp;RiskStatements[[#This Row],[Climate Variables/Explainers]]</f>
        <v>EP - Drought</v>
      </c>
      <c r="F44" s="22" t="str">
        <f>"E2050 - " &amp;RiskStatements[[#This Row],[Climate Variables/Explainers]]</f>
        <v>E2050 - Drought</v>
      </c>
      <c r="G44" s="22" t="str">
        <f>"E2100 - " &amp;RiskStatements[[#This Row],[Climate Variables/Explainers]]</f>
        <v>E2100 - Drought</v>
      </c>
      <c r="H44" s="22" t="str" cm="1">
        <f t="array" ref="H44">_xlfn.XLOOKUP(RiskStatements[[#This Row],[Elements at Risk]],Final_VEValues[Elements at Risk],_xlfn.XLOOKUP(RiskStatements[[#This Row],[Vulnerability Header]],Final_VEValues[#Headers],Final_VEValues[]))</f>
        <v>M</v>
      </c>
      <c r="I44" s="22" t="str" cm="1">
        <f t="array" ref="I44">_xlfn.XLOOKUP(RiskStatements[[#This Row],[Elements at Risk]],Final_VEValues[Elements at Risk],_xlfn.XLOOKUP(RiskStatements[[#This Row],[Exposure Present Header]],Final_VEValues[#Headers],Final_VEValues[]))</f>
        <v>L</v>
      </c>
      <c r="J44" s="22" t="str" cm="1">
        <f t="array" ref="J44">_xlfn.XLOOKUP(RiskStatements[[#This Row],[Elements at Risk]],Final_VEValues[Elements at Risk],_xlfn.XLOOKUP(RiskStatements[[#This Row],[Exposure 2050 Header]],Final_VEValues[#Headers],Final_VEValues[]))</f>
        <v>L</v>
      </c>
      <c r="K44" s="22" t="str" cm="1">
        <f t="array" ref="K44">_xlfn.XLOOKUP(RiskStatements[[#This Row],[Elements at Risk]],Final_VEValues[Elements at Risk],_xlfn.XLOOKUP(RiskStatements[[#This Row],[Exposure 2100 Header]],Final_VEValues[#Headers],Final_VEValues[]))</f>
        <v>L</v>
      </c>
      <c r="L44" s="22" t="str">
        <f>_xlfn.CONCAT(RiskStatements[[#This Row],[Climate Variables/Explainers]]," risk to ",RiskStatements[[#This Row],[Elements at Risk]])</f>
        <v>Drought risk to Water Transportation Activities</v>
      </c>
      <c r="M44" s="22" t="str" cm="1">
        <f t="array" ref="M44">_xlfn.XLOOKUP(RiskStatements[[#This Row],[Vulnerability Rating]],VEMatrix[Vulnerability],_xlfn.XLOOKUP(RiskStatements[[#This Row],[Exposure Rating - Present]],VEMatrix[#Headers],VEMatrix[]))</f>
        <v>Low</v>
      </c>
      <c r="N44" s="22" t="str" cm="1">
        <f t="array" ref="N44">_xlfn.XLOOKUP(RiskStatements[[#This Row],[Vulnerability Rating]],VEMatrix[Vulnerability],_xlfn.XLOOKUP(RiskStatements[[#This Row],[Exposure Rating - 2050]],VEMatrix[#Headers],VEMatrix[]))</f>
        <v>Low</v>
      </c>
      <c r="O44" s="22" t="str" cm="1">
        <f t="array" ref="O44">_xlfn.XLOOKUP(RiskStatements[[#This Row],[Vulnerability Rating]],VEMatrix[Vulnerability],_xlfn.XLOOKUP(RiskStatements[[#This Row],[Exposure Rating - 2100]],VEMatrix[#Headers],VEMatrix[]))</f>
        <v>Low</v>
      </c>
      <c r="P44" s="22">
        <f>_xlfn.XLOOKUP(RiskStatements[[#This Row],[Risk Rating - Present]],RatingOrder[Rating Order],RatingOrder[Rating Score],0,0)</f>
        <v>1</v>
      </c>
      <c r="Q44" s="22">
        <f>_xlfn.XLOOKUP(RiskStatements[[#This Row],[Risk Rating - 2050]],RatingOrder[Rating Order],RatingOrder[Rating Score],0,0)</f>
        <v>1</v>
      </c>
      <c r="R44" s="22">
        <f>_xlfn.XLOOKUP(RiskStatements[[#This Row],[Risk Rating - 2100]],RatingOrder[Rating Order],RatingOrder[Rating Score],0,0)</f>
        <v>1</v>
      </c>
      <c r="S4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45" spans="1:19" hidden="1" x14ac:dyDescent="0.35">
      <c r="A45" s="22" t="s">
        <v>46</v>
      </c>
      <c r="B45" s="22" t="s">
        <v>221</v>
      </c>
      <c r="C45" s="22" t="s">
        <v>136</v>
      </c>
      <c r="D45" s="22" t="str">
        <f>"V - " &amp;RiskStatements[[#This Row],[Climate Variables/Explainers]]</f>
        <v>V - Drought</v>
      </c>
      <c r="E45" s="22" t="str">
        <f>"EP - " &amp;RiskStatements[[#This Row],[Climate Variables/Explainers]]</f>
        <v>EP - Drought</v>
      </c>
      <c r="F45" s="22" t="str">
        <f>"E2050 - " &amp;RiskStatements[[#This Row],[Climate Variables/Explainers]]</f>
        <v>E2050 - Drought</v>
      </c>
      <c r="G45" s="22" t="str">
        <f>"E2100 - " &amp;RiskStatements[[#This Row],[Climate Variables/Explainers]]</f>
        <v>E2100 - Drought</v>
      </c>
      <c r="H45" s="22" t="str" cm="1">
        <f t="array" ref="H45">_xlfn.XLOOKUP(RiskStatements[[#This Row],[Elements at Risk]],Final_VEValues[Elements at Risk],_xlfn.XLOOKUP(RiskStatements[[#This Row],[Vulnerability Header]],Final_VEValues[#Headers],Final_VEValues[]))</f>
        <v>M</v>
      </c>
      <c r="I45" s="22" t="str" cm="1">
        <f t="array" ref="I45">_xlfn.XLOOKUP(RiskStatements[[#This Row],[Elements at Risk]],Final_VEValues[Elements at Risk],_xlfn.XLOOKUP(RiskStatements[[#This Row],[Exposure Present Header]],Final_VEValues[#Headers],Final_VEValues[]))</f>
        <v>M</v>
      </c>
      <c r="J45" s="22" t="str" cm="1">
        <f t="array" ref="J45">_xlfn.XLOOKUP(RiskStatements[[#This Row],[Elements at Risk]],Final_VEValues[Elements at Risk],_xlfn.XLOOKUP(RiskStatements[[#This Row],[Exposure 2050 Header]],Final_VEValues[#Headers],Final_VEValues[]))</f>
        <v>H</v>
      </c>
      <c r="K45" s="22" t="str" cm="1">
        <f t="array" ref="K45">_xlfn.XLOOKUP(RiskStatements[[#This Row],[Elements at Risk]],Final_VEValues[Elements at Risk],_xlfn.XLOOKUP(RiskStatements[[#This Row],[Exposure 2100 Header]],Final_VEValues[#Headers],Final_VEValues[]))</f>
        <v>E</v>
      </c>
      <c r="L45" s="22" t="str">
        <f>_xlfn.CONCAT(RiskStatements[[#This Row],[Climate Variables/Explainers]]," risk to ",RiskStatements[[#This Row],[Elements at Risk]])</f>
        <v>Drought risk to Office / Shop / Admin Activities</v>
      </c>
      <c r="M45" s="22" t="str" cm="1">
        <f t="array" ref="M45">_xlfn.XLOOKUP(RiskStatements[[#This Row],[Vulnerability Rating]],VEMatrix[Vulnerability],_xlfn.XLOOKUP(RiskStatements[[#This Row],[Exposure Rating - Present]],VEMatrix[#Headers],VEMatrix[]))</f>
        <v>Moderate</v>
      </c>
      <c r="N45" s="22" t="str" cm="1">
        <f t="array" ref="N45">_xlfn.XLOOKUP(RiskStatements[[#This Row],[Vulnerability Rating]],VEMatrix[Vulnerability],_xlfn.XLOOKUP(RiskStatements[[#This Row],[Exposure Rating - 2050]],VEMatrix[#Headers],VEMatrix[]))</f>
        <v>Moderate</v>
      </c>
      <c r="O45" s="22" t="str" cm="1">
        <f t="array" ref="O45">_xlfn.XLOOKUP(RiskStatements[[#This Row],[Vulnerability Rating]],VEMatrix[Vulnerability],_xlfn.XLOOKUP(RiskStatements[[#This Row],[Exposure Rating - 2100]],VEMatrix[#Headers],VEMatrix[]))</f>
        <v>High</v>
      </c>
      <c r="P45" s="22">
        <f>_xlfn.XLOOKUP(RiskStatements[[#This Row],[Risk Rating - Present]],RatingOrder[Rating Order],RatingOrder[Rating Score],0,0)</f>
        <v>2</v>
      </c>
      <c r="Q45" s="22">
        <f>_xlfn.XLOOKUP(RiskStatements[[#This Row],[Risk Rating - 2050]],RatingOrder[Rating Order],RatingOrder[Rating Score],0,0)</f>
        <v>2</v>
      </c>
      <c r="R45" s="22">
        <f>_xlfn.XLOOKUP(RiskStatements[[#This Row],[Risk Rating - 2100]],RatingOrder[Rating Order],RatingOrder[Rating Score],0,0)</f>
        <v>3</v>
      </c>
      <c r="S4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46" spans="1:19" hidden="1" x14ac:dyDescent="0.35">
      <c r="A46" s="22" t="s">
        <v>46</v>
      </c>
      <c r="B46" s="22" t="s">
        <v>219</v>
      </c>
      <c r="C46" s="22" t="s">
        <v>136</v>
      </c>
      <c r="D46" s="22" t="str">
        <f>"V - " &amp;RiskStatements[[#This Row],[Climate Variables/Explainers]]</f>
        <v>V - Drought</v>
      </c>
      <c r="E46" s="22" t="str">
        <f>"EP - " &amp;RiskStatements[[#This Row],[Climate Variables/Explainers]]</f>
        <v>EP - Drought</v>
      </c>
      <c r="F46" s="22" t="str">
        <f>"E2050 - " &amp;RiskStatements[[#This Row],[Climate Variables/Explainers]]</f>
        <v>E2050 - Drought</v>
      </c>
      <c r="G46" s="22" t="str">
        <f>"E2100 - " &amp;RiskStatements[[#This Row],[Climate Variables/Explainers]]</f>
        <v>E2100 - Drought</v>
      </c>
      <c r="H46" s="22" t="str" cm="1">
        <f t="array" ref="H46">_xlfn.XLOOKUP(RiskStatements[[#This Row],[Elements at Risk]],Final_VEValues[Elements at Risk],_xlfn.XLOOKUP(RiskStatements[[#This Row],[Vulnerability Header]],Final_VEValues[#Headers],Final_VEValues[]))</f>
        <v>M</v>
      </c>
      <c r="I46" s="22" t="str" cm="1">
        <f t="array" ref="I46">_xlfn.XLOOKUP(RiskStatements[[#This Row],[Elements at Risk]],Final_VEValues[Elements at Risk],_xlfn.XLOOKUP(RiskStatements[[#This Row],[Exposure Present Header]],Final_VEValues[#Headers],Final_VEValues[]))</f>
        <v>L</v>
      </c>
      <c r="J46" s="22" t="str" cm="1">
        <f t="array" ref="J46">_xlfn.XLOOKUP(RiskStatements[[#This Row],[Elements at Risk]],Final_VEValues[Elements at Risk],_xlfn.XLOOKUP(RiskStatements[[#This Row],[Exposure 2050 Header]],Final_VEValues[#Headers],Final_VEValues[]))</f>
        <v>L</v>
      </c>
      <c r="K46" s="22" t="str" cm="1">
        <f t="array" ref="K46">_xlfn.XLOOKUP(RiskStatements[[#This Row],[Elements at Risk]],Final_VEValues[Elements at Risk],_xlfn.XLOOKUP(RiskStatements[[#This Row],[Exposure 2100 Header]],Final_VEValues[#Headers],Final_VEValues[]))</f>
        <v>H</v>
      </c>
      <c r="L46" s="22" t="str">
        <f>_xlfn.CONCAT(RiskStatements[[#This Row],[Climate Variables/Explainers]]," risk to ",RiskStatements[[#This Row],[Elements at Risk]])</f>
        <v>Drought risk to Goods Supply Activities</v>
      </c>
      <c r="M46" s="22" t="str" cm="1">
        <f t="array" ref="M46">_xlfn.XLOOKUP(RiskStatements[[#This Row],[Vulnerability Rating]],VEMatrix[Vulnerability],_xlfn.XLOOKUP(RiskStatements[[#This Row],[Exposure Rating - Present]],VEMatrix[#Headers],VEMatrix[]))</f>
        <v>Low</v>
      </c>
      <c r="N46" s="22" t="str" cm="1">
        <f t="array" ref="N46">_xlfn.XLOOKUP(RiskStatements[[#This Row],[Vulnerability Rating]],VEMatrix[Vulnerability],_xlfn.XLOOKUP(RiskStatements[[#This Row],[Exposure Rating - 2050]],VEMatrix[#Headers],VEMatrix[]))</f>
        <v>Low</v>
      </c>
      <c r="O46" s="22" t="str" cm="1">
        <f t="array" ref="O46">_xlfn.XLOOKUP(RiskStatements[[#This Row],[Vulnerability Rating]],VEMatrix[Vulnerability],_xlfn.XLOOKUP(RiskStatements[[#This Row],[Exposure Rating - 2100]],VEMatrix[#Headers],VEMatrix[]))</f>
        <v>Moderate</v>
      </c>
      <c r="P46" s="22">
        <f>_xlfn.XLOOKUP(RiskStatements[[#This Row],[Risk Rating - Present]],RatingOrder[Rating Order],RatingOrder[Rating Score],0,0)</f>
        <v>1</v>
      </c>
      <c r="Q46" s="22">
        <f>_xlfn.XLOOKUP(RiskStatements[[#This Row],[Risk Rating - 2050]],RatingOrder[Rating Order],RatingOrder[Rating Score],0,0)</f>
        <v>1</v>
      </c>
      <c r="R46" s="22">
        <f>_xlfn.XLOOKUP(RiskStatements[[#This Row],[Risk Rating - 2100]],RatingOrder[Rating Order],RatingOrder[Rating Score],0,0)</f>
        <v>2</v>
      </c>
      <c r="S4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47" spans="1:19" hidden="1" x14ac:dyDescent="0.35">
      <c r="A47" s="22" t="s">
        <v>46</v>
      </c>
      <c r="B47" s="22" t="s">
        <v>217</v>
      </c>
      <c r="C47" s="22" t="s">
        <v>136</v>
      </c>
      <c r="D47" s="22" t="str">
        <f>"V - " &amp;RiskStatements[[#This Row],[Climate Variables/Explainers]]</f>
        <v>V - Drought</v>
      </c>
      <c r="E47" s="22" t="str">
        <f>"EP - " &amp;RiskStatements[[#This Row],[Climate Variables/Explainers]]</f>
        <v>EP - Drought</v>
      </c>
      <c r="F47" s="22" t="str">
        <f>"E2050 - " &amp;RiskStatements[[#This Row],[Climate Variables/Explainers]]</f>
        <v>E2050 - Drought</v>
      </c>
      <c r="G47" s="22" t="str">
        <f>"E2100 - " &amp;RiskStatements[[#This Row],[Climate Variables/Explainers]]</f>
        <v>E2100 - Drought</v>
      </c>
      <c r="H47" s="22" t="str" cm="1">
        <f t="array" ref="H47">_xlfn.XLOOKUP(RiskStatements[[#This Row],[Elements at Risk]],Final_VEValues[Elements at Risk],_xlfn.XLOOKUP(RiskStatements[[#This Row],[Vulnerability Header]],Final_VEValues[#Headers],Final_VEValues[]))</f>
        <v>M</v>
      </c>
      <c r="I47" s="22" t="str" cm="1">
        <f t="array" ref="I47">_xlfn.XLOOKUP(RiskStatements[[#This Row],[Elements at Risk]],Final_VEValues[Elements at Risk],_xlfn.XLOOKUP(RiskStatements[[#This Row],[Exposure Present Header]],Final_VEValues[#Headers],Final_VEValues[]))</f>
        <v>M</v>
      </c>
      <c r="J47" s="22" t="str" cm="1">
        <f t="array" ref="J47">_xlfn.XLOOKUP(RiskStatements[[#This Row],[Elements at Risk]],Final_VEValues[Elements at Risk],_xlfn.XLOOKUP(RiskStatements[[#This Row],[Exposure 2050 Header]],Final_VEValues[#Headers],Final_VEValues[]))</f>
        <v>H</v>
      </c>
      <c r="K47" s="22" t="str" cm="1">
        <f t="array" ref="K47">_xlfn.XLOOKUP(RiskStatements[[#This Row],[Elements at Risk]],Final_VEValues[Elements at Risk],_xlfn.XLOOKUP(RiskStatements[[#This Row],[Exposure 2100 Header]],Final_VEValues[#Headers],Final_VEValues[]))</f>
        <v>H</v>
      </c>
      <c r="L47" s="22" t="str">
        <f>_xlfn.CONCAT(RiskStatements[[#This Row],[Climate Variables/Explainers]]," risk to ",RiskStatements[[#This Row],[Elements at Risk]])</f>
        <v>Drought risk to Construction Activities</v>
      </c>
      <c r="M47" s="22" t="str" cm="1">
        <f t="array" ref="M47">_xlfn.XLOOKUP(RiskStatements[[#This Row],[Vulnerability Rating]],VEMatrix[Vulnerability],_xlfn.XLOOKUP(RiskStatements[[#This Row],[Exposure Rating - Present]],VEMatrix[#Headers],VEMatrix[]))</f>
        <v>Moderate</v>
      </c>
      <c r="N47" s="22" t="str" cm="1">
        <f t="array" ref="N47">_xlfn.XLOOKUP(RiskStatements[[#This Row],[Vulnerability Rating]],VEMatrix[Vulnerability],_xlfn.XLOOKUP(RiskStatements[[#This Row],[Exposure Rating - 2050]],VEMatrix[#Headers],VEMatrix[]))</f>
        <v>Moderate</v>
      </c>
      <c r="O47" s="22" t="str" cm="1">
        <f t="array" ref="O47">_xlfn.XLOOKUP(RiskStatements[[#This Row],[Vulnerability Rating]],VEMatrix[Vulnerability],_xlfn.XLOOKUP(RiskStatements[[#This Row],[Exposure Rating - 2100]],VEMatrix[#Headers],VEMatrix[]))</f>
        <v>Moderate</v>
      </c>
      <c r="P47" s="22">
        <f>_xlfn.XLOOKUP(RiskStatements[[#This Row],[Risk Rating - Present]],RatingOrder[Rating Order],RatingOrder[Rating Score],0,0)</f>
        <v>2</v>
      </c>
      <c r="Q47" s="22">
        <f>_xlfn.XLOOKUP(RiskStatements[[#This Row],[Risk Rating - 2050]],RatingOrder[Rating Order],RatingOrder[Rating Score],0,0)</f>
        <v>2</v>
      </c>
      <c r="R47" s="22">
        <f>_xlfn.XLOOKUP(RiskStatements[[#This Row],[Risk Rating - 2100]],RatingOrder[Rating Order],RatingOrder[Rating Score],0,0)</f>
        <v>2</v>
      </c>
      <c r="S4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48" spans="1:19" x14ac:dyDescent="0.35">
      <c r="A48" s="22" t="s">
        <v>111</v>
      </c>
      <c r="B48" s="22" t="s">
        <v>112</v>
      </c>
      <c r="C48" s="22" t="s">
        <v>134</v>
      </c>
      <c r="D48" s="22" t="str">
        <f>"V - " &amp;RiskStatements[[#This Row],[Climate Variables/Explainers]]</f>
        <v>V - Extreme Rainfall</v>
      </c>
      <c r="E48" s="22" t="str">
        <f>"EP - " &amp;RiskStatements[[#This Row],[Climate Variables/Explainers]]</f>
        <v>EP - Extreme Rainfall</v>
      </c>
      <c r="F48" s="22" t="str">
        <f>"E2050 - " &amp;RiskStatements[[#This Row],[Climate Variables/Explainers]]</f>
        <v>E2050 - Extreme Rainfall</v>
      </c>
      <c r="G48" s="22" t="str">
        <f>"E2100 - " &amp;RiskStatements[[#This Row],[Climate Variables/Explainers]]</f>
        <v>E2100 - Extreme Rainfall</v>
      </c>
      <c r="H48" s="22" t="str" cm="1">
        <f t="array" ref="H48">_xlfn.XLOOKUP(RiskStatements[[#This Row],[Elements at Risk]],Final_VEValues[Elements at Risk],_xlfn.XLOOKUP(RiskStatements[[#This Row],[Vulnerability Header]],Final_VEValues[#Headers],Final_VEValues[]))</f>
        <v>H</v>
      </c>
      <c r="I48" s="22" t="str" cm="1">
        <f t="array" ref="I48">_xlfn.XLOOKUP(RiskStatements[[#This Row],[Elements at Risk]],Final_VEValues[Elements at Risk],_xlfn.XLOOKUP(RiskStatements[[#This Row],[Exposure Present Header]],Final_VEValues[#Headers],Final_VEValues[]))</f>
        <v>L</v>
      </c>
      <c r="J48" s="22" t="str" cm="1">
        <f t="array" ref="J48">_xlfn.XLOOKUP(RiskStatements[[#This Row],[Elements at Risk]],Final_VEValues[Elements at Risk],_xlfn.XLOOKUP(RiskStatements[[#This Row],[Exposure 2050 Header]],Final_VEValues[#Headers],Final_VEValues[]))</f>
        <v>L</v>
      </c>
      <c r="K48" s="22" t="str" cm="1">
        <f t="array" ref="K48">_xlfn.XLOOKUP(RiskStatements[[#This Row],[Elements at Risk]],Final_VEValues[Elements at Risk],_xlfn.XLOOKUP(RiskStatements[[#This Row],[Exposure 2100 Header]],Final_VEValues[#Headers],Final_VEValues[]))</f>
        <v>M</v>
      </c>
      <c r="L48" s="22" t="str">
        <f>_xlfn.CONCAT(RiskStatements[[#This Row],[Climate Variables/Explainers]]," risk to ",RiskStatements[[#This Row],[Elements at Risk]])</f>
        <v>Extreme Rainfall risk to Coastal / Marine Ecosystems</v>
      </c>
      <c r="M48" s="22" t="str" cm="1">
        <f t="array" ref="M48">_xlfn.XLOOKUP(RiskStatements[[#This Row],[Vulnerability Rating]],VEMatrix[Vulnerability],_xlfn.XLOOKUP(RiskStatements[[#This Row],[Exposure Rating - Present]],VEMatrix[#Headers],VEMatrix[]))</f>
        <v>Low</v>
      </c>
      <c r="N48" s="22" t="str" cm="1">
        <f t="array" ref="N48">_xlfn.XLOOKUP(RiskStatements[[#This Row],[Vulnerability Rating]],VEMatrix[Vulnerability],_xlfn.XLOOKUP(RiskStatements[[#This Row],[Exposure Rating - 2050]],VEMatrix[#Headers],VEMatrix[]))</f>
        <v>Low</v>
      </c>
      <c r="O48" s="22" t="str" cm="1">
        <f t="array" ref="O48">_xlfn.XLOOKUP(RiskStatements[[#This Row],[Vulnerability Rating]],VEMatrix[Vulnerability],_xlfn.XLOOKUP(RiskStatements[[#This Row],[Exposure Rating - 2100]],VEMatrix[#Headers],VEMatrix[]))</f>
        <v>Moderate</v>
      </c>
      <c r="P48" s="22">
        <f>_xlfn.XLOOKUP(RiskStatements[[#This Row],[Risk Rating - Present]],RatingOrder[Rating Order],RatingOrder[Rating Score],0,0)</f>
        <v>1</v>
      </c>
      <c r="Q48" s="22">
        <f>_xlfn.XLOOKUP(RiskStatements[[#This Row],[Risk Rating - 2050]],RatingOrder[Rating Order],RatingOrder[Rating Score],0,0)</f>
        <v>1</v>
      </c>
      <c r="R48" s="22">
        <f>_xlfn.XLOOKUP(RiskStatements[[#This Row],[Risk Rating - 2100]],RatingOrder[Rating Order],RatingOrder[Rating Score],0,0)</f>
        <v>2</v>
      </c>
      <c r="S4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49" spans="1:19" hidden="1" x14ac:dyDescent="0.35">
      <c r="A49" s="22" t="s">
        <v>111</v>
      </c>
      <c r="B49" s="22" t="s">
        <v>117</v>
      </c>
      <c r="C49" s="22" t="s">
        <v>134</v>
      </c>
      <c r="D49" s="22" t="str">
        <f>"V - " &amp;RiskStatements[[#This Row],[Climate Variables/Explainers]]</f>
        <v>V - Extreme Rainfall</v>
      </c>
      <c r="E49" s="22" t="str">
        <f>"EP - " &amp;RiskStatements[[#This Row],[Climate Variables/Explainers]]</f>
        <v>EP - Extreme Rainfall</v>
      </c>
      <c r="F49" s="22" t="str">
        <f>"E2050 - " &amp;RiskStatements[[#This Row],[Climate Variables/Explainers]]</f>
        <v>E2050 - Extreme Rainfall</v>
      </c>
      <c r="G49" s="22" t="str">
        <f>"E2100 - " &amp;RiskStatements[[#This Row],[Climate Variables/Explainers]]</f>
        <v>E2100 - Extreme Rainfall</v>
      </c>
      <c r="H49" s="22" t="str" cm="1">
        <f t="array" ref="H49">_xlfn.XLOOKUP(RiskStatements[[#This Row],[Elements at Risk]],Final_VEValues[Elements at Risk],_xlfn.XLOOKUP(RiskStatements[[#This Row],[Vulnerability Header]],Final_VEValues[#Headers],Final_VEValues[]))</f>
        <v>E</v>
      </c>
      <c r="I49" s="22" t="str" cm="1">
        <f t="array" ref="I49">_xlfn.XLOOKUP(RiskStatements[[#This Row],[Elements at Risk]],Final_VEValues[Elements at Risk],_xlfn.XLOOKUP(RiskStatements[[#This Row],[Exposure Present Header]],Final_VEValues[#Headers],Final_VEValues[]))</f>
        <v>M</v>
      </c>
      <c r="J49" s="22" t="str" cm="1">
        <f t="array" ref="J49">_xlfn.XLOOKUP(RiskStatements[[#This Row],[Elements at Risk]],Final_VEValues[Elements at Risk],_xlfn.XLOOKUP(RiskStatements[[#This Row],[Exposure 2050 Header]],Final_VEValues[#Headers],Final_VEValues[]))</f>
        <v>H</v>
      </c>
      <c r="K49" s="22" t="str" cm="1">
        <f t="array" ref="K49">_xlfn.XLOOKUP(RiskStatements[[#This Row],[Elements at Risk]],Final_VEValues[Elements at Risk],_xlfn.XLOOKUP(RiskStatements[[#This Row],[Exposure 2100 Header]],Final_VEValues[#Headers],Final_VEValues[]))</f>
        <v>E</v>
      </c>
      <c r="L49" s="22" t="str">
        <f>_xlfn.CONCAT(RiskStatements[[#This Row],[Climate Variables/Explainers]]," risk to ",RiskStatements[[#This Row],[Elements at Risk]])</f>
        <v>Extreme Rainfall risk to Terrestrial Ecosystems</v>
      </c>
      <c r="M49" s="22" t="str" cm="1">
        <f t="array" ref="M49">_xlfn.XLOOKUP(RiskStatements[[#This Row],[Vulnerability Rating]],VEMatrix[Vulnerability],_xlfn.XLOOKUP(RiskStatements[[#This Row],[Exposure Rating - Present]],VEMatrix[#Headers],VEMatrix[]))</f>
        <v>High</v>
      </c>
      <c r="N49" s="22" t="str" cm="1">
        <f t="array" ref="N49">_xlfn.XLOOKUP(RiskStatements[[#This Row],[Vulnerability Rating]],VEMatrix[Vulnerability],_xlfn.XLOOKUP(RiskStatements[[#This Row],[Exposure Rating - 2050]],VEMatrix[#Headers],VEMatrix[]))</f>
        <v>Extreme</v>
      </c>
      <c r="O49" s="22" t="str" cm="1">
        <f t="array" ref="O49">_xlfn.XLOOKUP(RiskStatements[[#This Row],[Vulnerability Rating]],VEMatrix[Vulnerability],_xlfn.XLOOKUP(RiskStatements[[#This Row],[Exposure Rating - 2100]],VEMatrix[#Headers],VEMatrix[]))</f>
        <v>Extreme</v>
      </c>
      <c r="P49" s="22">
        <f>_xlfn.XLOOKUP(RiskStatements[[#This Row],[Risk Rating - Present]],RatingOrder[Rating Order],RatingOrder[Rating Score],0,0)</f>
        <v>3</v>
      </c>
      <c r="Q49" s="22">
        <f>_xlfn.XLOOKUP(RiskStatements[[#This Row],[Risk Rating - 2050]],RatingOrder[Rating Order],RatingOrder[Rating Score],0,0)</f>
        <v>4</v>
      </c>
      <c r="R49" s="22">
        <f>_xlfn.XLOOKUP(RiskStatements[[#This Row],[Risk Rating - 2100]],RatingOrder[Rating Order],RatingOrder[Rating Score],0,0)</f>
        <v>4</v>
      </c>
      <c r="S4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50" spans="1:19" hidden="1" x14ac:dyDescent="0.35">
      <c r="A50" s="22" t="s">
        <v>111</v>
      </c>
      <c r="B50" s="22" t="s">
        <v>119</v>
      </c>
      <c r="C50" s="22" t="s">
        <v>134</v>
      </c>
      <c r="D50" s="22" t="str">
        <f>"V - " &amp;RiskStatements[[#This Row],[Climate Variables/Explainers]]</f>
        <v>V - Extreme Rainfall</v>
      </c>
      <c r="E50" s="22" t="str">
        <f>"EP - " &amp;RiskStatements[[#This Row],[Climate Variables/Explainers]]</f>
        <v>EP - Extreme Rainfall</v>
      </c>
      <c r="F50" s="22" t="str">
        <f>"E2050 - " &amp;RiskStatements[[#This Row],[Climate Variables/Explainers]]</f>
        <v>E2050 - Extreme Rainfall</v>
      </c>
      <c r="G50" s="22" t="str">
        <f>"E2100 - " &amp;RiskStatements[[#This Row],[Climate Variables/Explainers]]</f>
        <v>E2100 - Extreme Rainfall</v>
      </c>
      <c r="H50" s="22" t="str" cm="1">
        <f t="array" ref="H50">_xlfn.XLOOKUP(RiskStatements[[#This Row],[Elements at Risk]],Final_VEValues[Elements at Risk],_xlfn.XLOOKUP(RiskStatements[[#This Row],[Vulnerability Header]],Final_VEValues[#Headers],Final_VEValues[]))</f>
        <v>E</v>
      </c>
      <c r="I50" s="22" t="str" cm="1">
        <f t="array" ref="I50">_xlfn.XLOOKUP(RiskStatements[[#This Row],[Elements at Risk]],Final_VEValues[Elements at Risk],_xlfn.XLOOKUP(RiskStatements[[#This Row],[Exposure Present Header]],Final_VEValues[#Headers],Final_VEValues[]))</f>
        <v>M</v>
      </c>
      <c r="J50" s="22" t="str" cm="1">
        <f t="array" ref="J50">_xlfn.XLOOKUP(RiskStatements[[#This Row],[Elements at Risk]],Final_VEValues[Elements at Risk],_xlfn.XLOOKUP(RiskStatements[[#This Row],[Exposure 2050 Header]],Final_VEValues[#Headers],Final_VEValues[]))</f>
        <v>H</v>
      </c>
      <c r="K50" s="22" t="str" cm="1">
        <f t="array" ref="K50">_xlfn.XLOOKUP(RiskStatements[[#This Row],[Elements at Risk]],Final_VEValues[Elements at Risk],_xlfn.XLOOKUP(RiskStatements[[#This Row],[Exposure 2100 Header]],Final_VEValues[#Headers],Final_VEValues[]))</f>
        <v>H</v>
      </c>
      <c r="L50" s="22" t="str">
        <f>_xlfn.CONCAT(RiskStatements[[#This Row],[Climate Variables/Explainers]]," risk to ",RiskStatements[[#This Row],[Elements at Risk]])</f>
        <v>Extreme Rainfall risk to Freshwater Ecosystems</v>
      </c>
      <c r="M50" s="22" t="str" cm="1">
        <f t="array" ref="M50">_xlfn.XLOOKUP(RiskStatements[[#This Row],[Vulnerability Rating]],VEMatrix[Vulnerability],_xlfn.XLOOKUP(RiskStatements[[#This Row],[Exposure Rating - Present]],VEMatrix[#Headers],VEMatrix[]))</f>
        <v>High</v>
      </c>
      <c r="N50" s="22" t="str" cm="1">
        <f t="array" ref="N50">_xlfn.XLOOKUP(RiskStatements[[#This Row],[Vulnerability Rating]],VEMatrix[Vulnerability],_xlfn.XLOOKUP(RiskStatements[[#This Row],[Exposure Rating - 2050]],VEMatrix[#Headers],VEMatrix[]))</f>
        <v>Extreme</v>
      </c>
      <c r="O50" s="22" t="str" cm="1">
        <f t="array" ref="O50">_xlfn.XLOOKUP(RiskStatements[[#This Row],[Vulnerability Rating]],VEMatrix[Vulnerability],_xlfn.XLOOKUP(RiskStatements[[#This Row],[Exposure Rating - 2100]],VEMatrix[#Headers],VEMatrix[]))</f>
        <v>Extreme</v>
      </c>
      <c r="P50" s="22">
        <f>_xlfn.XLOOKUP(RiskStatements[[#This Row],[Risk Rating - Present]],RatingOrder[Rating Order],RatingOrder[Rating Score],0,0)</f>
        <v>3</v>
      </c>
      <c r="Q50" s="22">
        <f>_xlfn.XLOOKUP(RiskStatements[[#This Row],[Risk Rating - 2050]],RatingOrder[Rating Order],RatingOrder[Rating Score],0,0)</f>
        <v>4</v>
      </c>
      <c r="R50" s="22">
        <f>_xlfn.XLOOKUP(RiskStatements[[#This Row],[Risk Rating - 2100]],RatingOrder[Rating Order],RatingOrder[Rating Score],0,0)</f>
        <v>4</v>
      </c>
      <c r="S5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51" spans="1:19" hidden="1" x14ac:dyDescent="0.35">
      <c r="A51" s="22" t="s">
        <v>120</v>
      </c>
      <c r="B51" s="22" t="s">
        <v>210</v>
      </c>
      <c r="C51" s="22" t="s">
        <v>134</v>
      </c>
      <c r="D51" s="22" t="str">
        <f>"V - " &amp;RiskStatements[[#This Row],[Climate Variables/Explainers]]</f>
        <v>V - Extreme Rainfall</v>
      </c>
      <c r="E51" s="22" t="str">
        <f>"EP - " &amp;RiskStatements[[#This Row],[Climate Variables/Explainers]]</f>
        <v>EP - Extreme Rainfall</v>
      </c>
      <c r="F51" s="22" t="str">
        <f>"E2050 - " &amp;RiskStatements[[#This Row],[Climate Variables/Explainers]]</f>
        <v>E2050 - Extreme Rainfall</v>
      </c>
      <c r="G51" s="22" t="str">
        <f>"E2100 - " &amp;RiskStatements[[#This Row],[Climate Variables/Explainers]]</f>
        <v>E2100 - Extreme Rainfall</v>
      </c>
      <c r="H51" s="22" t="str" cm="1">
        <f t="array" ref="H51">_xlfn.XLOOKUP(RiskStatements[[#This Row],[Elements at Risk]],Final_VEValues[Elements at Risk],_xlfn.XLOOKUP(RiskStatements[[#This Row],[Vulnerability Header]],Final_VEValues[#Headers],Final_VEValues[]))</f>
        <v>M</v>
      </c>
      <c r="I51" s="22" t="str" cm="1">
        <f t="array" ref="I51">_xlfn.XLOOKUP(RiskStatements[[#This Row],[Elements at Risk]],Final_VEValues[Elements at Risk],_xlfn.XLOOKUP(RiskStatements[[#This Row],[Exposure Present Header]],Final_VEValues[#Headers],Final_VEValues[]))</f>
        <v>M</v>
      </c>
      <c r="J51" s="22" t="str" cm="1">
        <f t="array" ref="J51">_xlfn.XLOOKUP(RiskStatements[[#This Row],[Elements at Risk]],Final_VEValues[Elements at Risk],_xlfn.XLOOKUP(RiskStatements[[#This Row],[Exposure 2050 Header]],Final_VEValues[#Headers],Final_VEValues[]))</f>
        <v>M</v>
      </c>
      <c r="K51" s="22" t="str" cm="1">
        <f t="array" ref="K51">_xlfn.XLOOKUP(RiskStatements[[#This Row],[Elements at Risk]],Final_VEValues[Elements at Risk],_xlfn.XLOOKUP(RiskStatements[[#This Row],[Exposure 2100 Header]],Final_VEValues[#Headers],Final_VEValues[]))</f>
        <v>H</v>
      </c>
      <c r="L51" s="22" t="str">
        <f>_xlfn.CONCAT(RiskStatements[[#This Row],[Climate Variables/Explainers]]," risk to ",RiskStatements[[#This Row],[Elements at Risk]])</f>
        <v>Extreme Rainfall risk to Inhabited Buildings</v>
      </c>
      <c r="M51" s="22" t="str" cm="1">
        <f t="array" ref="M51">_xlfn.XLOOKUP(RiskStatements[[#This Row],[Vulnerability Rating]],VEMatrix[Vulnerability],_xlfn.XLOOKUP(RiskStatements[[#This Row],[Exposure Rating - Present]],VEMatrix[#Headers],VEMatrix[]))</f>
        <v>Moderate</v>
      </c>
      <c r="N51" s="22" t="str" cm="1">
        <f t="array" ref="N51">_xlfn.XLOOKUP(RiskStatements[[#This Row],[Vulnerability Rating]],VEMatrix[Vulnerability],_xlfn.XLOOKUP(RiskStatements[[#This Row],[Exposure Rating - 2050]],VEMatrix[#Headers],VEMatrix[]))</f>
        <v>Moderate</v>
      </c>
      <c r="O51" s="22" t="str" cm="1">
        <f t="array" ref="O51">_xlfn.XLOOKUP(RiskStatements[[#This Row],[Vulnerability Rating]],VEMatrix[Vulnerability],_xlfn.XLOOKUP(RiskStatements[[#This Row],[Exposure Rating - 2100]],VEMatrix[#Headers],VEMatrix[]))</f>
        <v>Moderate</v>
      </c>
      <c r="P51" s="22">
        <f>_xlfn.XLOOKUP(RiskStatements[[#This Row],[Risk Rating - Present]],RatingOrder[Rating Order],RatingOrder[Rating Score],0,0)</f>
        <v>2</v>
      </c>
      <c r="Q51" s="22">
        <f>_xlfn.XLOOKUP(RiskStatements[[#This Row],[Risk Rating - 2050]],RatingOrder[Rating Order],RatingOrder[Rating Score],0,0)</f>
        <v>2</v>
      </c>
      <c r="R51" s="22">
        <f>_xlfn.XLOOKUP(RiskStatements[[#This Row],[Risk Rating - 2100]],RatingOrder[Rating Order],RatingOrder[Rating Score],0,0)</f>
        <v>2</v>
      </c>
      <c r="S5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52" spans="1:19" hidden="1" x14ac:dyDescent="0.35">
      <c r="A52" s="22" t="s">
        <v>120</v>
      </c>
      <c r="B52" s="22" t="s">
        <v>218</v>
      </c>
      <c r="C52" s="22" t="s">
        <v>134</v>
      </c>
      <c r="D52" s="22" t="str">
        <f>"V - " &amp;RiskStatements[[#This Row],[Climate Variables/Explainers]]</f>
        <v>V - Extreme Rainfall</v>
      </c>
      <c r="E52" s="22" t="str">
        <f>"EP - " &amp;RiskStatements[[#This Row],[Climate Variables/Explainers]]</f>
        <v>EP - Extreme Rainfall</v>
      </c>
      <c r="F52" s="22" t="str">
        <f>"E2050 - " &amp;RiskStatements[[#This Row],[Climate Variables/Explainers]]</f>
        <v>E2050 - Extreme Rainfall</v>
      </c>
      <c r="G52" s="22" t="str">
        <f>"E2100 - " &amp;RiskStatements[[#This Row],[Climate Variables/Explainers]]</f>
        <v>E2100 - Extreme Rainfall</v>
      </c>
      <c r="H52" s="22" t="str" cm="1">
        <f t="array" ref="H52">_xlfn.XLOOKUP(RiskStatements[[#This Row],[Elements at Risk]],Final_VEValues[Elements at Risk],_xlfn.XLOOKUP(RiskStatements[[#This Row],[Vulnerability Header]],Final_VEValues[#Headers],Final_VEValues[]))</f>
        <v>M</v>
      </c>
      <c r="I52" s="22" t="str" cm="1">
        <f t="array" ref="I52">_xlfn.XLOOKUP(RiskStatements[[#This Row],[Elements at Risk]],Final_VEValues[Elements at Risk],_xlfn.XLOOKUP(RiskStatements[[#This Row],[Exposure Present Header]],Final_VEValues[#Headers],Final_VEValues[]))</f>
        <v>M</v>
      </c>
      <c r="J52" s="22" t="str" cm="1">
        <f t="array" ref="J52">_xlfn.XLOOKUP(RiskStatements[[#This Row],[Elements at Risk]],Final_VEValues[Elements at Risk],_xlfn.XLOOKUP(RiskStatements[[#This Row],[Exposure 2050 Header]],Final_VEValues[#Headers],Final_VEValues[]))</f>
        <v>M</v>
      </c>
      <c r="K52" s="22" t="str" cm="1">
        <f t="array" ref="K52">_xlfn.XLOOKUP(RiskStatements[[#This Row],[Elements at Risk]],Final_VEValues[Elements at Risk],_xlfn.XLOOKUP(RiskStatements[[#This Row],[Exposure 2100 Header]],Final_VEValues[#Headers],Final_VEValues[]))</f>
        <v>H</v>
      </c>
      <c r="L52" s="22" t="str">
        <f>_xlfn.CONCAT(RiskStatements[[#This Row],[Climate Variables/Explainers]]," risk to ",RiskStatements[[#This Row],[Elements at Risk]])</f>
        <v>Extreme Rainfall risk to Ports / Wharves</v>
      </c>
      <c r="M52" s="22" t="str" cm="1">
        <f t="array" ref="M52">_xlfn.XLOOKUP(RiskStatements[[#This Row],[Vulnerability Rating]],VEMatrix[Vulnerability],_xlfn.XLOOKUP(RiskStatements[[#This Row],[Exposure Rating - Present]],VEMatrix[#Headers],VEMatrix[]))</f>
        <v>Moderate</v>
      </c>
      <c r="N52" s="22" t="str" cm="1">
        <f t="array" ref="N52">_xlfn.XLOOKUP(RiskStatements[[#This Row],[Vulnerability Rating]],VEMatrix[Vulnerability],_xlfn.XLOOKUP(RiskStatements[[#This Row],[Exposure Rating - 2050]],VEMatrix[#Headers],VEMatrix[]))</f>
        <v>Moderate</v>
      </c>
      <c r="O52" s="22" t="str" cm="1">
        <f t="array" ref="O52">_xlfn.XLOOKUP(RiskStatements[[#This Row],[Vulnerability Rating]],VEMatrix[Vulnerability],_xlfn.XLOOKUP(RiskStatements[[#This Row],[Exposure Rating - 2100]],VEMatrix[#Headers],VEMatrix[]))</f>
        <v>Moderate</v>
      </c>
      <c r="P52" s="22">
        <f>_xlfn.XLOOKUP(RiskStatements[[#This Row],[Risk Rating - Present]],RatingOrder[Rating Order],RatingOrder[Rating Score],0,0)</f>
        <v>2</v>
      </c>
      <c r="Q52" s="22">
        <f>_xlfn.XLOOKUP(RiskStatements[[#This Row],[Risk Rating - 2050]],RatingOrder[Rating Order],RatingOrder[Rating Score],0,0)</f>
        <v>2</v>
      </c>
      <c r="R52" s="22">
        <f>_xlfn.XLOOKUP(RiskStatements[[#This Row],[Risk Rating - 2100]],RatingOrder[Rating Order],RatingOrder[Rating Score],0,0)</f>
        <v>2</v>
      </c>
      <c r="S5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53" spans="1:19" hidden="1" x14ac:dyDescent="0.35">
      <c r="A53" s="22" t="s">
        <v>120</v>
      </c>
      <c r="B53" s="22" t="s">
        <v>220</v>
      </c>
      <c r="C53" s="22" t="s">
        <v>134</v>
      </c>
      <c r="D53" s="22" t="str">
        <f>"V - " &amp;RiskStatements[[#This Row],[Climate Variables/Explainers]]</f>
        <v>V - Extreme Rainfall</v>
      </c>
      <c r="E53" s="22" t="str">
        <f>"EP - " &amp;RiskStatements[[#This Row],[Climate Variables/Explainers]]</f>
        <v>EP - Extreme Rainfall</v>
      </c>
      <c r="F53" s="22" t="str">
        <f>"E2050 - " &amp;RiskStatements[[#This Row],[Climate Variables/Explainers]]</f>
        <v>E2050 - Extreme Rainfall</v>
      </c>
      <c r="G53" s="22" t="str">
        <f>"E2100 - " &amp;RiskStatements[[#This Row],[Climate Variables/Explainers]]</f>
        <v>E2100 - Extreme Rainfall</v>
      </c>
      <c r="H53" s="22" t="str" cm="1">
        <f t="array" ref="H53">_xlfn.XLOOKUP(RiskStatements[[#This Row],[Elements at Risk]],Final_VEValues[Elements at Risk],_xlfn.XLOOKUP(RiskStatements[[#This Row],[Vulnerability Header]],Final_VEValues[#Headers],Final_VEValues[]))</f>
        <v>H</v>
      </c>
      <c r="I53" s="22" t="str" cm="1">
        <f t="array" ref="I53">_xlfn.XLOOKUP(RiskStatements[[#This Row],[Elements at Risk]],Final_VEValues[Elements at Risk],_xlfn.XLOOKUP(RiskStatements[[#This Row],[Exposure Present Header]],Final_VEValues[#Headers],Final_VEValues[]))</f>
        <v>M</v>
      </c>
      <c r="J53" s="22" t="str" cm="1">
        <f t="array" ref="J53">_xlfn.XLOOKUP(RiskStatements[[#This Row],[Elements at Risk]],Final_VEValues[Elements at Risk],_xlfn.XLOOKUP(RiskStatements[[#This Row],[Exposure 2050 Header]],Final_VEValues[#Headers],Final_VEValues[]))</f>
        <v>M</v>
      </c>
      <c r="K53" s="22" t="str" cm="1">
        <f t="array" ref="K53">_xlfn.XLOOKUP(RiskStatements[[#This Row],[Elements at Risk]],Final_VEValues[Elements at Risk],_xlfn.XLOOKUP(RiskStatements[[#This Row],[Exposure 2100 Header]],Final_VEValues[#Headers],Final_VEValues[]))</f>
        <v>H</v>
      </c>
      <c r="L53" s="22" t="str">
        <f>_xlfn.CONCAT(RiskStatements[[#This Row],[Climate Variables/Explainers]]," risk to ",RiskStatements[[#This Row],[Elements at Risk]])</f>
        <v>Extreme Rainfall risk to Airports / Airfields</v>
      </c>
      <c r="M53" s="22" t="str" cm="1">
        <f t="array" ref="M53">_xlfn.XLOOKUP(RiskStatements[[#This Row],[Vulnerability Rating]],VEMatrix[Vulnerability],_xlfn.XLOOKUP(RiskStatements[[#This Row],[Exposure Rating - Present]],VEMatrix[#Headers],VEMatrix[]))</f>
        <v>Moderate</v>
      </c>
      <c r="N53" s="22" t="str" cm="1">
        <f t="array" ref="N53">_xlfn.XLOOKUP(RiskStatements[[#This Row],[Vulnerability Rating]],VEMatrix[Vulnerability],_xlfn.XLOOKUP(RiskStatements[[#This Row],[Exposure Rating - 2050]],VEMatrix[#Headers],VEMatrix[]))</f>
        <v>Moderate</v>
      </c>
      <c r="O53" s="22" t="str" cm="1">
        <f t="array" ref="O53">_xlfn.XLOOKUP(RiskStatements[[#This Row],[Vulnerability Rating]],VEMatrix[Vulnerability],_xlfn.XLOOKUP(RiskStatements[[#This Row],[Exposure Rating - 2100]],VEMatrix[#Headers],VEMatrix[]))</f>
        <v>High</v>
      </c>
      <c r="P53" s="22">
        <f>_xlfn.XLOOKUP(RiskStatements[[#This Row],[Risk Rating - Present]],RatingOrder[Rating Order],RatingOrder[Rating Score],0,0)</f>
        <v>2</v>
      </c>
      <c r="Q53" s="22">
        <f>_xlfn.XLOOKUP(RiskStatements[[#This Row],[Risk Rating - 2050]],RatingOrder[Rating Order],RatingOrder[Rating Score],0,0)</f>
        <v>2</v>
      </c>
      <c r="R53" s="22">
        <f>_xlfn.XLOOKUP(RiskStatements[[#This Row],[Risk Rating - 2100]],RatingOrder[Rating Order],RatingOrder[Rating Score],0,0)</f>
        <v>3</v>
      </c>
      <c r="S5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54" spans="1:19" hidden="1" x14ac:dyDescent="0.35">
      <c r="A54" s="22" t="s">
        <v>120</v>
      </c>
      <c r="B54" s="22" t="s">
        <v>67</v>
      </c>
      <c r="C54" s="22" t="s">
        <v>134</v>
      </c>
      <c r="D54" s="22" t="str">
        <f>"V - " &amp;RiskStatements[[#This Row],[Climate Variables/Explainers]]</f>
        <v>V - Extreme Rainfall</v>
      </c>
      <c r="E54" s="22" t="str">
        <f>"EP - " &amp;RiskStatements[[#This Row],[Climate Variables/Explainers]]</f>
        <v>EP - Extreme Rainfall</v>
      </c>
      <c r="F54" s="22" t="str">
        <f>"E2050 - " &amp;RiskStatements[[#This Row],[Climate Variables/Explainers]]</f>
        <v>E2050 - Extreme Rainfall</v>
      </c>
      <c r="G54" s="22" t="str">
        <f>"E2100 - " &amp;RiskStatements[[#This Row],[Climate Variables/Explainers]]</f>
        <v>E2100 - Extreme Rainfall</v>
      </c>
      <c r="H54" s="22" t="str" cm="1">
        <f t="array" ref="H54">_xlfn.XLOOKUP(RiskStatements[[#This Row],[Elements at Risk]],Final_VEValues[Elements at Risk],_xlfn.XLOOKUP(RiskStatements[[#This Row],[Vulnerability Header]],Final_VEValues[#Headers],Final_VEValues[]))</f>
        <v>M</v>
      </c>
      <c r="I54" s="22" t="str" cm="1">
        <f t="array" ref="I54">_xlfn.XLOOKUP(RiskStatements[[#This Row],[Elements at Risk]],Final_VEValues[Elements at Risk],_xlfn.XLOOKUP(RiskStatements[[#This Row],[Exposure Present Header]],Final_VEValues[#Headers],Final_VEValues[]))</f>
        <v>M</v>
      </c>
      <c r="J54" s="22" t="str" cm="1">
        <f t="array" ref="J54">_xlfn.XLOOKUP(RiskStatements[[#This Row],[Elements at Risk]],Final_VEValues[Elements at Risk],_xlfn.XLOOKUP(RiskStatements[[#This Row],[Exposure 2050 Header]],Final_VEValues[#Headers],Final_VEValues[]))</f>
        <v>M</v>
      </c>
      <c r="K54" s="22" t="str" cm="1">
        <f t="array" ref="K54">_xlfn.XLOOKUP(RiskStatements[[#This Row],[Elements at Risk]],Final_VEValues[Elements at Risk],_xlfn.XLOOKUP(RiskStatements[[#This Row],[Exposure 2100 Header]],Final_VEValues[#Headers],Final_VEValues[]))</f>
        <v>H</v>
      </c>
      <c r="L54" s="22" t="str">
        <f>_xlfn.CONCAT(RiskStatements[[#This Row],[Climate Variables/Explainers]]," risk to ",RiskStatements[[#This Row],[Elements at Risk]])</f>
        <v>Extreme Rainfall risk to Telecommunications</v>
      </c>
      <c r="M54" s="22" t="str" cm="1">
        <f t="array" ref="M54">_xlfn.XLOOKUP(RiskStatements[[#This Row],[Vulnerability Rating]],VEMatrix[Vulnerability],_xlfn.XLOOKUP(RiskStatements[[#This Row],[Exposure Rating - Present]],VEMatrix[#Headers],VEMatrix[]))</f>
        <v>Moderate</v>
      </c>
      <c r="N54" s="22" t="str" cm="1">
        <f t="array" ref="N54">_xlfn.XLOOKUP(RiskStatements[[#This Row],[Vulnerability Rating]],VEMatrix[Vulnerability],_xlfn.XLOOKUP(RiskStatements[[#This Row],[Exposure Rating - 2050]],VEMatrix[#Headers],VEMatrix[]))</f>
        <v>Moderate</v>
      </c>
      <c r="O54" s="22" t="str" cm="1">
        <f t="array" ref="O54">_xlfn.XLOOKUP(RiskStatements[[#This Row],[Vulnerability Rating]],VEMatrix[Vulnerability],_xlfn.XLOOKUP(RiskStatements[[#This Row],[Exposure Rating - 2100]],VEMatrix[#Headers],VEMatrix[]))</f>
        <v>Moderate</v>
      </c>
      <c r="P54" s="22">
        <f>_xlfn.XLOOKUP(RiskStatements[[#This Row],[Risk Rating - Present]],RatingOrder[Rating Order],RatingOrder[Rating Score],0,0)</f>
        <v>2</v>
      </c>
      <c r="Q54" s="22">
        <f>_xlfn.XLOOKUP(RiskStatements[[#This Row],[Risk Rating - 2050]],RatingOrder[Rating Order],RatingOrder[Rating Score],0,0)</f>
        <v>2</v>
      </c>
      <c r="R54" s="22">
        <f>_xlfn.XLOOKUP(RiskStatements[[#This Row],[Risk Rating - 2100]],RatingOrder[Rating Order],RatingOrder[Rating Score],0,0)</f>
        <v>2</v>
      </c>
      <c r="S5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55" spans="1:19" hidden="1" x14ac:dyDescent="0.35">
      <c r="A55" s="22" t="s">
        <v>120</v>
      </c>
      <c r="B55" s="22" t="s">
        <v>121</v>
      </c>
      <c r="C55" s="22" t="s">
        <v>134</v>
      </c>
      <c r="D55" s="22" t="str">
        <f>"V - " &amp;RiskStatements[[#This Row],[Climate Variables/Explainers]]</f>
        <v>V - Extreme Rainfall</v>
      </c>
      <c r="E55" s="22" t="str">
        <f>"EP - " &amp;RiskStatements[[#This Row],[Climate Variables/Explainers]]</f>
        <v>EP - Extreme Rainfall</v>
      </c>
      <c r="F55" s="22" t="str">
        <f>"E2050 - " &amp;RiskStatements[[#This Row],[Climate Variables/Explainers]]</f>
        <v>E2050 - Extreme Rainfall</v>
      </c>
      <c r="G55" s="22" t="str">
        <f>"E2100 - " &amp;RiskStatements[[#This Row],[Climate Variables/Explainers]]</f>
        <v>E2100 - Extreme Rainfall</v>
      </c>
      <c r="H55" s="22" t="str" cm="1">
        <f t="array" ref="H55">_xlfn.XLOOKUP(RiskStatements[[#This Row],[Elements at Risk]],Final_VEValues[Elements at Risk],_xlfn.XLOOKUP(RiskStatements[[#This Row],[Vulnerability Header]],Final_VEValues[#Headers],Final_VEValues[]))</f>
        <v>M</v>
      </c>
      <c r="I55" s="22" t="str" cm="1">
        <f t="array" ref="I55">_xlfn.XLOOKUP(RiskStatements[[#This Row],[Elements at Risk]],Final_VEValues[Elements at Risk],_xlfn.XLOOKUP(RiskStatements[[#This Row],[Exposure Present Header]],Final_VEValues[#Headers],Final_VEValues[]))</f>
        <v>M</v>
      </c>
      <c r="J55" s="22" t="str" cm="1">
        <f t="array" ref="J55">_xlfn.XLOOKUP(RiskStatements[[#This Row],[Elements at Risk]],Final_VEValues[Elements at Risk],_xlfn.XLOOKUP(RiskStatements[[#This Row],[Exposure 2050 Header]],Final_VEValues[#Headers],Final_VEValues[]))</f>
        <v>M</v>
      </c>
      <c r="K55" s="22" t="str" cm="1">
        <f t="array" ref="K55">_xlfn.XLOOKUP(RiskStatements[[#This Row],[Elements at Risk]],Final_VEValues[Elements at Risk],_xlfn.XLOOKUP(RiskStatements[[#This Row],[Exposure 2100 Header]],Final_VEValues[#Headers],Final_VEValues[]))</f>
        <v>H</v>
      </c>
      <c r="L55" s="22" t="str">
        <f>_xlfn.CONCAT(RiskStatements[[#This Row],[Climate Variables/Explainers]]," risk to ",RiskStatements[[#This Row],[Elements at Risk]])</f>
        <v>Extreme Rainfall risk to Electricity</v>
      </c>
      <c r="M55" s="22" t="str" cm="1">
        <f t="array" ref="M55">_xlfn.XLOOKUP(RiskStatements[[#This Row],[Vulnerability Rating]],VEMatrix[Vulnerability],_xlfn.XLOOKUP(RiskStatements[[#This Row],[Exposure Rating - Present]],VEMatrix[#Headers],VEMatrix[]))</f>
        <v>Moderate</v>
      </c>
      <c r="N55" s="22" t="str" cm="1">
        <f t="array" ref="N55">_xlfn.XLOOKUP(RiskStatements[[#This Row],[Vulnerability Rating]],VEMatrix[Vulnerability],_xlfn.XLOOKUP(RiskStatements[[#This Row],[Exposure Rating - 2050]],VEMatrix[#Headers],VEMatrix[]))</f>
        <v>Moderate</v>
      </c>
      <c r="O55" s="22" t="str" cm="1">
        <f t="array" ref="O55">_xlfn.XLOOKUP(RiskStatements[[#This Row],[Vulnerability Rating]],VEMatrix[Vulnerability],_xlfn.XLOOKUP(RiskStatements[[#This Row],[Exposure Rating - 2100]],VEMatrix[#Headers],VEMatrix[]))</f>
        <v>Moderate</v>
      </c>
      <c r="P55" s="22">
        <f>_xlfn.XLOOKUP(RiskStatements[[#This Row],[Risk Rating - Present]],RatingOrder[Rating Order],RatingOrder[Rating Score],0,0)</f>
        <v>2</v>
      </c>
      <c r="Q55" s="22">
        <f>_xlfn.XLOOKUP(RiskStatements[[#This Row],[Risk Rating - 2050]],RatingOrder[Rating Order],RatingOrder[Rating Score],0,0)</f>
        <v>2</v>
      </c>
      <c r="R55" s="22">
        <f>_xlfn.XLOOKUP(RiskStatements[[#This Row],[Risk Rating - 2100]],RatingOrder[Rating Order],RatingOrder[Rating Score],0,0)</f>
        <v>2</v>
      </c>
      <c r="S5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56" spans="1:19" hidden="1" x14ac:dyDescent="0.35">
      <c r="A56" s="22" t="s">
        <v>120</v>
      </c>
      <c r="B56" s="22" t="s">
        <v>70</v>
      </c>
      <c r="C56" s="22" t="s">
        <v>134</v>
      </c>
      <c r="D56" s="22" t="str">
        <f>"V - " &amp;RiskStatements[[#This Row],[Climate Variables/Explainers]]</f>
        <v>V - Extreme Rainfall</v>
      </c>
      <c r="E56" s="22" t="str">
        <f>"EP - " &amp;RiskStatements[[#This Row],[Climate Variables/Explainers]]</f>
        <v>EP - Extreme Rainfall</v>
      </c>
      <c r="F56" s="22" t="str">
        <f>"E2050 - " &amp;RiskStatements[[#This Row],[Climate Variables/Explainers]]</f>
        <v>E2050 - Extreme Rainfall</v>
      </c>
      <c r="G56" s="22" t="str">
        <f>"E2100 - " &amp;RiskStatements[[#This Row],[Climate Variables/Explainers]]</f>
        <v>E2100 - Extreme Rainfall</v>
      </c>
      <c r="H56" s="22" t="str" cm="1">
        <f t="array" ref="H56">_xlfn.XLOOKUP(RiskStatements[[#This Row],[Elements at Risk]],Final_VEValues[Elements at Risk],_xlfn.XLOOKUP(RiskStatements[[#This Row],[Vulnerability Header]],Final_VEValues[#Headers],Final_VEValues[]))</f>
        <v>H</v>
      </c>
      <c r="I56" s="22" t="str" cm="1">
        <f t="array" ref="I56">_xlfn.XLOOKUP(RiskStatements[[#This Row],[Elements at Risk]],Final_VEValues[Elements at Risk],_xlfn.XLOOKUP(RiskStatements[[#This Row],[Exposure Present Header]],Final_VEValues[#Headers],Final_VEValues[]))</f>
        <v>M</v>
      </c>
      <c r="J56" s="22" t="str" cm="1">
        <f t="array" ref="J56">_xlfn.XLOOKUP(RiskStatements[[#This Row],[Elements at Risk]],Final_VEValues[Elements at Risk],_xlfn.XLOOKUP(RiskStatements[[#This Row],[Exposure 2050 Header]],Final_VEValues[#Headers],Final_VEValues[]))</f>
        <v>M</v>
      </c>
      <c r="K56" s="22" t="str" cm="1">
        <f t="array" ref="K56">_xlfn.XLOOKUP(RiskStatements[[#This Row],[Elements at Risk]],Final_VEValues[Elements at Risk],_xlfn.XLOOKUP(RiskStatements[[#This Row],[Exposure 2100 Header]],Final_VEValues[#Headers],Final_VEValues[]))</f>
        <v>H</v>
      </c>
      <c r="L56" s="22" t="str">
        <f>_xlfn.CONCAT(RiskStatements[[#This Row],[Climate Variables/Explainers]]," risk to ",RiskStatements[[#This Row],[Elements at Risk]])</f>
        <v>Extreme Rainfall risk to Wastewater Infrastructure</v>
      </c>
      <c r="M56" s="22" t="str" cm="1">
        <f t="array" ref="M56">_xlfn.XLOOKUP(RiskStatements[[#This Row],[Vulnerability Rating]],VEMatrix[Vulnerability],_xlfn.XLOOKUP(RiskStatements[[#This Row],[Exposure Rating - Present]],VEMatrix[#Headers],VEMatrix[]))</f>
        <v>Moderate</v>
      </c>
      <c r="N56" s="22" t="str" cm="1">
        <f t="array" ref="N56">_xlfn.XLOOKUP(RiskStatements[[#This Row],[Vulnerability Rating]],VEMatrix[Vulnerability],_xlfn.XLOOKUP(RiskStatements[[#This Row],[Exposure Rating - 2050]],VEMatrix[#Headers],VEMatrix[]))</f>
        <v>Moderate</v>
      </c>
      <c r="O56" s="22" t="str" cm="1">
        <f t="array" ref="O56">_xlfn.XLOOKUP(RiskStatements[[#This Row],[Vulnerability Rating]],VEMatrix[Vulnerability],_xlfn.XLOOKUP(RiskStatements[[#This Row],[Exposure Rating - 2100]],VEMatrix[#Headers],VEMatrix[]))</f>
        <v>High</v>
      </c>
      <c r="P56" s="22">
        <f>_xlfn.XLOOKUP(RiskStatements[[#This Row],[Risk Rating - Present]],RatingOrder[Rating Order],RatingOrder[Rating Score],0,0)</f>
        <v>2</v>
      </c>
      <c r="Q56" s="22">
        <f>_xlfn.XLOOKUP(RiskStatements[[#This Row],[Risk Rating - 2050]],RatingOrder[Rating Order],RatingOrder[Rating Score],0,0)</f>
        <v>2</v>
      </c>
      <c r="R56" s="22">
        <f>_xlfn.XLOOKUP(RiskStatements[[#This Row],[Risk Rating - 2100]],RatingOrder[Rating Order],RatingOrder[Rating Score],0,0)</f>
        <v>3</v>
      </c>
      <c r="S5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57" spans="1:19" hidden="1" x14ac:dyDescent="0.35">
      <c r="A57" s="22" t="s">
        <v>120</v>
      </c>
      <c r="B57" s="22" t="s">
        <v>223</v>
      </c>
      <c r="C57" s="22" t="s">
        <v>134</v>
      </c>
      <c r="D57" s="22" t="str">
        <f>"V - " &amp;RiskStatements[[#This Row],[Climate Variables/Explainers]]</f>
        <v>V - Extreme Rainfall</v>
      </c>
      <c r="E57" s="22" t="str">
        <f>"EP - " &amp;RiskStatements[[#This Row],[Climate Variables/Explainers]]</f>
        <v>EP - Extreme Rainfall</v>
      </c>
      <c r="F57" s="22" t="str">
        <f>"E2050 - " &amp;RiskStatements[[#This Row],[Climate Variables/Explainers]]</f>
        <v>E2050 - Extreme Rainfall</v>
      </c>
      <c r="G57" s="22" t="str">
        <f>"E2100 - " &amp;RiskStatements[[#This Row],[Climate Variables/Explainers]]</f>
        <v>E2100 - Extreme Rainfall</v>
      </c>
      <c r="H57" s="22" t="str" cm="1">
        <f t="array" ref="H57">_xlfn.XLOOKUP(RiskStatements[[#This Row],[Elements at Risk]],Final_VEValues[Elements at Risk],_xlfn.XLOOKUP(RiskStatements[[#This Row],[Vulnerability Header]],Final_VEValues[#Headers],Final_VEValues[]))</f>
        <v>H</v>
      </c>
      <c r="I57" s="22" t="str" cm="1">
        <f t="array" ref="I57">_xlfn.XLOOKUP(RiskStatements[[#This Row],[Elements at Risk]],Final_VEValues[Elements at Risk],_xlfn.XLOOKUP(RiskStatements[[#This Row],[Exposure Present Header]],Final_VEValues[#Headers],Final_VEValues[]))</f>
        <v>M</v>
      </c>
      <c r="J57" s="22" t="str" cm="1">
        <f t="array" ref="J57">_xlfn.XLOOKUP(RiskStatements[[#This Row],[Elements at Risk]],Final_VEValues[Elements at Risk],_xlfn.XLOOKUP(RiskStatements[[#This Row],[Exposure 2050 Header]],Final_VEValues[#Headers],Final_VEValues[]))</f>
        <v>M</v>
      </c>
      <c r="K57" s="22" t="str" cm="1">
        <f t="array" ref="K57">_xlfn.XLOOKUP(RiskStatements[[#This Row],[Elements at Risk]],Final_VEValues[Elements at Risk],_xlfn.XLOOKUP(RiskStatements[[#This Row],[Exposure 2100 Header]],Final_VEValues[#Headers],Final_VEValues[]))</f>
        <v>H</v>
      </c>
      <c r="L57" s="22" t="str">
        <f>_xlfn.CONCAT(RiskStatements[[#This Row],[Climate Variables/Explainers]]," risk to ",RiskStatements[[#This Row],[Elements at Risk]])</f>
        <v>Extreme Rainfall risk to Transportation Assets</v>
      </c>
      <c r="M57" s="22" t="str" cm="1">
        <f t="array" ref="M57">_xlfn.XLOOKUP(RiskStatements[[#This Row],[Vulnerability Rating]],VEMatrix[Vulnerability],_xlfn.XLOOKUP(RiskStatements[[#This Row],[Exposure Rating - Present]],VEMatrix[#Headers],VEMatrix[]))</f>
        <v>Moderate</v>
      </c>
      <c r="N57" s="22" t="str" cm="1">
        <f t="array" ref="N57">_xlfn.XLOOKUP(RiskStatements[[#This Row],[Vulnerability Rating]],VEMatrix[Vulnerability],_xlfn.XLOOKUP(RiskStatements[[#This Row],[Exposure Rating - 2050]],VEMatrix[#Headers],VEMatrix[]))</f>
        <v>Moderate</v>
      </c>
      <c r="O57" s="22" t="str" cm="1">
        <f t="array" ref="O57">_xlfn.XLOOKUP(RiskStatements[[#This Row],[Vulnerability Rating]],VEMatrix[Vulnerability],_xlfn.XLOOKUP(RiskStatements[[#This Row],[Exposure Rating - 2100]],VEMatrix[#Headers],VEMatrix[]))</f>
        <v>High</v>
      </c>
      <c r="P57" s="22">
        <f>_xlfn.XLOOKUP(RiskStatements[[#This Row],[Risk Rating - Present]],RatingOrder[Rating Order],RatingOrder[Rating Score],0,0)</f>
        <v>2</v>
      </c>
      <c r="Q57" s="22">
        <f>_xlfn.XLOOKUP(RiskStatements[[#This Row],[Risk Rating - 2050]],RatingOrder[Rating Order],RatingOrder[Rating Score],0,0)</f>
        <v>2</v>
      </c>
      <c r="R57" s="22">
        <f>_xlfn.XLOOKUP(RiskStatements[[#This Row],[Risk Rating - 2100]],RatingOrder[Rating Order],RatingOrder[Rating Score],0,0)</f>
        <v>3</v>
      </c>
      <c r="S5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58" spans="1:19" hidden="1" x14ac:dyDescent="0.35">
      <c r="A58" s="22" t="s">
        <v>120</v>
      </c>
      <c r="B58" s="22" t="s">
        <v>122</v>
      </c>
      <c r="C58" s="22" t="s">
        <v>134</v>
      </c>
      <c r="D58" s="22" t="str">
        <f>"V - " &amp;RiskStatements[[#This Row],[Climate Variables/Explainers]]</f>
        <v>V - Extreme Rainfall</v>
      </c>
      <c r="E58" s="22" t="str">
        <f>"EP - " &amp;RiskStatements[[#This Row],[Climate Variables/Explainers]]</f>
        <v>EP - Extreme Rainfall</v>
      </c>
      <c r="F58" s="22" t="str">
        <f>"E2050 - " &amp;RiskStatements[[#This Row],[Climate Variables/Explainers]]</f>
        <v>E2050 - Extreme Rainfall</v>
      </c>
      <c r="G58" s="22" t="str">
        <f>"E2100 - " &amp;RiskStatements[[#This Row],[Climate Variables/Explainers]]</f>
        <v>E2100 - Extreme Rainfall</v>
      </c>
      <c r="H58" s="22" t="str" cm="1">
        <f t="array" ref="H58">_xlfn.XLOOKUP(RiskStatements[[#This Row],[Elements at Risk]],Final_VEValues[Elements at Risk],_xlfn.XLOOKUP(RiskStatements[[#This Row],[Vulnerability Header]],Final_VEValues[#Headers],Final_VEValues[]))</f>
        <v>M</v>
      </c>
      <c r="I58" s="22" t="str" cm="1">
        <f t="array" ref="I58">_xlfn.XLOOKUP(RiskStatements[[#This Row],[Elements at Risk]],Final_VEValues[Elements at Risk],_xlfn.XLOOKUP(RiskStatements[[#This Row],[Exposure Present Header]],Final_VEValues[#Headers],Final_VEValues[]))</f>
        <v>L</v>
      </c>
      <c r="J58" s="22" t="str" cm="1">
        <f t="array" ref="J58">_xlfn.XLOOKUP(RiskStatements[[#This Row],[Elements at Risk]],Final_VEValues[Elements at Risk],_xlfn.XLOOKUP(RiskStatements[[#This Row],[Exposure 2050 Header]],Final_VEValues[#Headers],Final_VEValues[]))</f>
        <v>M</v>
      </c>
      <c r="K58" s="22" t="str" cm="1">
        <f t="array" ref="K58">_xlfn.XLOOKUP(RiskStatements[[#This Row],[Elements at Risk]],Final_VEValues[Elements at Risk],_xlfn.XLOOKUP(RiskStatements[[#This Row],[Exposure 2100 Header]],Final_VEValues[#Headers],Final_VEValues[]))</f>
        <v>H</v>
      </c>
      <c r="L58" s="22" t="str">
        <f>_xlfn.CONCAT(RiskStatements[[#This Row],[Climate Variables/Explainers]]," risk to ",RiskStatements[[#This Row],[Elements at Risk]])</f>
        <v>Extreme Rainfall risk to Water Supply</v>
      </c>
      <c r="M58" s="22" t="str" cm="1">
        <f t="array" ref="M58">_xlfn.XLOOKUP(RiskStatements[[#This Row],[Vulnerability Rating]],VEMatrix[Vulnerability],_xlfn.XLOOKUP(RiskStatements[[#This Row],[Exposure Rating - Present]],VEMatrix[#Headers],VEMatrix[]))</f>
        <v>Low</v>
      </c>
      <c r="N58" s="22" t="str" cm="1">
        <f t="array" ref="N58">_xlfn.XLOOKUP(RiskStatements[[#This Row],[Vulnerability Rating]],VEMatrix[Vulnerability],_xlfn.XLOOKUP(RiskStatements[[#This Row],[Exposure Rating - 2050]],VEMatrix[#Headers],VEMatrix[]))</f>
        <v>Moderate</v>
      </c>
      <c r="O58" s="22" t="str" cm="1">
        <f t="array" ref="O58">_xlfn.XLOOKUP(RiskStatements[[#This Row],[Vulnerability Rating]],VEMatrix[Vulnerability],_xlfn.XLOOKUP(RiskStatements[[#This Row],[Exposure Rating - 2100]],VEMatrix[#Headers],VEMatrix[]))</f>
        <v>Moderate</v>
      </c>
      <c r="P58" s="22">
        <f>_xlfn.XLOOKUP(RiskStatements[[#This Row],[Risk Rating - Present]],RatingOrder[Rating Order],RatingOrder[Rating Score],0,0)</f>
        <v>1</v>
      </c>
      <c r="Q58" s="22">
        <f>_xlfn.XLOOKUP(RiskStatements[[#This Row],[Risk Rating - 2050]],RatingOrder[Rating Order],RatingOrder[Rating Score],0,0)</f>
        <v>2</v>
      </c>
      <c r="R58" s="22">
        <f>_xlfn.XLOOKUP(RiskStatements[[#This Row],[Risk Rating - 2100]],RatingOrder[Rating Order],RatingOrder[Rating Score],0,0)</f>
        <v>2</v>
      </c>
      <c r="S5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59" spans="1:19" hidden="1" x14ac:dyDescent="0.35">
      <c r="A59" s="22" t="s">
        <v>120</v>
      </c>
      <c r="B59" s="22" t="s">
        <v>224</v>
      </c>
      <c r="C59" s="22" t="s">
        <v>134</v>
      </c>
      <c r="D59" s="22" t="str">
        <f>"V - " &amp;RiskStatements[[#This Row],[Climate Variables/Explainers]]</f>
        <v>V - Extreme Rainfall</v>
      </c>
      <c r="E59" s="22" t="str">
        <f>"EP - " &amp;RiskStatements[[#This Row],[Climate Variables/Explainers]]</f>
        <v>EP - Extreme Rainfall</v>
      </c>
      <c r="F59" s="22" t="str">
        <f>"E2050 - " &amp;RiskStatements[[#This Row],[Climate Variables/Explainers]]</f>
        <v>E2050 - Extreme Rainfall</v>
      </c>
      <c r="G59" s="22" t="str">
        <f>"E2100 - " &amp;RiskStatements[[#This Row],[Climate Variables/Explainers]]</f>
        <v>E2100 - Extreme Rainfall</v>
      </c>
      <c r="H59" s="22" t="str" cm="1">
        <f t="array" ref="H59">_xlfn.XLOOKUP(RiskStatements[[#This Row],[Elements at Risk]],Final_VEValues[Elements at Risk],_xlfn.XLOOKUP(RiskStatements[[#This Row],[Vulnerability Header]],Final_VEValues[#Headers],Final_VEValues[]))</f>
        <v>H</v>
      </c>
      <c r="I59" s="22" t="str" cm="1">
        <f t="array" ref="I59">_xlfn.XLOOKUP(RiskStatements[[#This Row],[Elements at Risk]],Final_VEValues[Elements at Risk],_xlfn.XLOOKUP(RiskStatements[[#This Row],[Exposure Present Header]],Final_VEValues[#Headers],Final_VEValues[]))</f>
        <v>H</v>
      </c>
      <c r="J59" s="22" t="str" cm="1">
        <f t="array" ref="J59">_xlfn.XLOOKUP(RiskStatements[[#This Row],[Elements at Risk]],Final_VEValues[Elements at Risk],_xlfn.XLOOKUP(RiskStatements[[#This Row],[Exposure 2050 Header]],Final_VEValues[#Headers],Final_VEValues[]))</f>
        <v>H</v>
      </c>
      <c r="K59" s="22" t="str" cm="1">
        <f t="array" ref="K59">_xlfn.XLOOKUP(RiskStatements[[#This Row],[Elements at Risk]],Final_VEValues[Elements at Risk],_xlfn.XLOOKUP(RiskStatements[[#This Row],[Exposure 2100 Header]],Final_VEValues[#Headers],Final_VEValues[]))</f>
        <v>E</v>
      </c>
      <c r="L59" s="22" t="str">
        <f>_xlfn.CONCAT(RiskStatements[[#This Row],[Climate Variables/Explainers]]," risk to ",RiskStatements[[#This Row],[Elements at Risk]])</f>
        <v>Extreme Rainfall risk to Stormwater / Flood Management</v>
      </c>
      <c r="M59" s="22" t="str" cm="1">
        <f t="array" ref="M59">_xlfn.XLOOKUP(RiskStatements[[#This Row],[Vulnerability Rating]],VEMatrix[Vulnerability],_xlfn.XLOOKUP(RiskStatements[[#This Row],[Exposure Rating - Present]],VEMatrix[#Headers],VEMatrix[]))</f>
        <v>High</v>
      </c>
      <c r="N59" s="22" t="str" cm="1">
        <f t="array" ref="N59">_xlfn.XLOOKUP(RiskStatements[[#This Row],[Vulnerability Rating]],VEMatrix[Vulnerability],_xlfn.XLOOKUP(RiskStatements[[#This Row],[Exposure Rating - 2050]],VEMatrix[#Headers],VEMatrix[]))</f>
        <v>High</v>
      </c>
      <c r="O59" s="22" t="str" cm="1">
        <f t="array" ref="O59">_xlfn.XLOOKUP(RiskStatements[[#This Row],[Vulnerability Rating]],VEMatrix[Vulnerability],_xlfn.XLOOKUP(RiskStatements[[#This Row],[Exposure Rating - 2100]],VEMatrix[#Headers],VEMatrix[]))</f>
        <v>Extreme</v>
      </c>
      <c r="P59" s="22">
        <f>_xlfn.XLOOKUP(RiskStatements[[#This Row],[Risk Rating - Present]],RatingOrder[Rating Order],RatingOrder[Rating Score],0,0)</f>
        <v>3</v>
      </c>
      <c r="Q59" s="22">
        <f>_xlfn.XLOOKUP(RiskStatements[[#This Row],[Risk Rating - 2050]],RatingOrder[Rating Order],RatingOrder[Rating Score],0,0)</f>
        <v>3</v>
      </c>
      <c r="R59" s="22">
        <f>_xlfn.XLOOKUP(RiskStatements[[#This Row],[Risk Rating - 2100]],RatingOrder[Rating Order],RatingOrder[Rating Score],0,0)</f>
        <v>4</v>
      </c>
      <c r="S5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60" spans="1:19" hidden="1" x14ac:dyDescent="0.35">
      <c r="A60" s="22" t="s">
        <v>120</v>
      </c>
      <c r="B60" s="22" t="s">
        <v>212</v>
      </c>
      <c r="C60" s="22" t="s">
        <v>134</v>
      </c>
      <c r="D60" s="22" t="str">
        <f>"V - " &amp;RiskStatements[[#This Row],[Climate Variables/Explainers]]</f>
        <v>V - Extreme Rainfall</v>
      </c>
      <c r="E60" s="22" t="str">
        <f>"EP - " &amp;RiskStatements[[#This Row],[Climate Variables/Explainers]]</f>
        <v>EP - Extreme Rainfall</v>
      </c>
      <c r="F60" s="22" t="str">
        <f>"E2050 - " &amp;RiskStatements[[#This Row],[Climate Variables/Explainers]]</f>
        <v>E2050 - Extreme Rainfall</v>
      </c>
      <c r="G60" s="22" t="str">
        <f>"E2100 - " &amp;RiskStatements[[#This Row],[Climate Variables/Explainers]]</f>
        <v>E2100 - Extreme Rainfall</v>
      </c>
      <c r="H60" s="22" t="str" cm="1">
        <f t="array" ref="H60">_xlfn.XLOOKUP(RiskStatements[[#This Row],[Elements at Risk]],Final_VEValues[Elements at Risk],_xlfn.XLOOKUP(RiskStatements[[#This Row],[Vulnerability Header]],Final_VEValues[#Headers],Final_VEValues[]))</f>
        <v>M</v>
      </c>
      <c r="I60" s="22" t="str" cm="1">
        <f t="array" ref="I60">_xlfn.XLOOKUP(RiskStatements[[#This Row],[Elements at Risk]],Final_VEValues[Elements at Risk],_xlfn.XLOOKUP(RiskStatements[[#This Row],[Exposure Present Header]],Final_VEValues[#Headers],Final_VEValues[]))</f>
        <v>M</v>
      </c>
      <c r="J60" s="22" t="str" cm="1">
        <f t="array" ref="J60">_xlfn.XLOOKUP(RiskStatements[[#This Row],[Elements at Risk]],Final_VEValues[Elements at Risk],_xlfn.XLOOKUP(RiskStatements[[#This Row],[Exposure 2050 Header]],Final_VEValues[#Headers],Final_VEValues[]))</f>
        <v>M</v>
      </c>
      <c r="K60" s="22" t="str" cm="1">
        <f t="array" ref="K60">_xlfn.XLOOKUP(RiskStatements[[#This Row],[Elements at Risk]],Final_VEValues[Elements at Risk],_xlfn.XLOOKUP(RiskStatements[[#This Row],[Exposure 2100 Header]],Final_VEValues[#Headers],Final_VEValues[]))</f>
        <v>H</v>
      </c>
      <c r="L60" s="22" t="str">
        <f>_xlfn.CONCAT(RiskStatements[[#This Row],[Climate Variables/Explainers]]," risk to ",RiskStatements[[#This Row],[Elements at Risk]])</f>
        <v>Extreme Rainfall risk to Uninhabited Buildings</v>
      </c>
      <c r="M60" s="22" t="str" cm="1">
        <f t="array" ref="M60">_xlfn.XLOOKUP(RiskStatements[[#This Row],[Vulnerability Rating]],VEMatrix[Vulnerability],_xlfn.XLOOKUP(RiskStatements[[#This Row],[Exposure Rating - Present]],VEMatrix[#Headers],VEMatrix[]))</f>
        <v>Moderate</v>
      </c>
      <c r="N60" s="22" t="str" cm="1">
        <f t="array" ref="N60">_xlfn.XLOOKUP(RiskStatements[[#This Row],[Vulnerability Rating]],VEMatrix[Vulnerability],_xlfn.XLOOKUP(RiskStatements[[#This Row],[Exposure Rating - 2050]],VEMatrix[#Headers],VEMatrix[]))</f>
        <v>Moderate</v>
      </c>
      <c r="O60" s="22" t="str" cm="1">
        <f t="array" ref="O60">_xlfn.XLOOKUP(RiskStatements[[#This Row],[Vulnerability Rating]],VEMatrix[Vulnerability],_xlfn.XLOOKUP(RiskStatements[[#This Row],[Exposure Rating - 2100]],VEMatrix[#Headers],VEMatrix[]))</f>
        <v>Moderate</v>
      </c>
      <c r="P60" s="22">
        <f>_xlfn.XLOOKUP(RiskStatements[[#This Row],[Risk Rating - Present]],RatingOrder[Rating Order],RatingOrder[Rating Score],0,0)</f>
        <v>2</v>
      </c>
      <c r="Q60" s="22">
        <f>_xlfn.XLOOKUP(RiskStatements[[#This Row],[Risk Rating - 2050]],RatingOrder[Rating Order],RatingOrder[Rating Score],0,0)</f>
        <v>2</v>
      </c>
      <c r="R60" s="22">
        <f>_xlfn.XLOOKUP(RiskStatements[[#This Row],[Risk Rating - 2100]],RatingOrder[Rating Order],RatingOrder[Rating Score],0,0)</f>
        <v>2</v>
      </c>
      <c r="S6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61" spans="1:19" hidden="1" x14ac:dyDescent="0.35">
      <c r="A61" s="22" t="s">
        <v>120</v>
      </c>
      <c r="B61" s="22" t="s">
        <v>74</v>
      </c>
      <c r="C61" s="22" t="s">
        <v>134</v>
      </c>
      <c r="D61" s="22" t="str">
        <f>"V - " &amp;RiskStatements[[#This Row],[Climate Variables/Explainers]]</f>
        <v>V - Extreme Rainfall</v>
      </c>
      <c r="E61" s="22" t="str">
        <f>"EP - " &amp;RiskStatements[[#This Row],[Climate Variables/Explainers]]</f>
        <v>EP - Extreme Rainfall</v>
      </c>
      <c r="F61" s="22" t="str">
        <f>"E2050 - " &amp;RiskStatements[[#This Row],[Climate Variables/Explainers]]</f>
        <v>E2050 - Extreme Rainfall</v>
      </c>
      <c r="G61" s="22" t="str">
        <f>"E2100 - " &amp;RiskStatements[[#This Row],[Climate Variables/Explainers]]</f>
        <v>E2100 - Extreme Rainfall</v>
      </c>
      <c r="H61" s="22" t="str" cm="1">
        <f t="array" ref="H61">_xlfn.XLOOKUP(RiskStatements[[#This Row],[Elements at Risk]],Final_VEValues[Elements at Risk],_xlfn.XLOOKUP(RiskStatements[[#This Row],[Vulnerability Header]],Final_VEValues[#Headers],Final_VEValues[]))</f>
        <v>H</v>
      </c>
      <c r="I61" s="22" t="str" cm="1">
        <f t="array" ref="I61">_xlfn.XLOOKUP(RiskStatements[[#This Row],[Elements at Risk]],Final_VEValues[Elements at Risk],_xlfn.XLOOKUP(RiskStatements[[#This Row],[Exposure Present Header]],Final_VEValues[#Headers],Final_VEValues[]))</f>
        <v>M</v>
      </c>
      <c r="J61" s="22" t="str" cm="1">
        <f t="array" ref="J61">_xlfn.XLOOKUP(RiskStatements[[#This Row],[Elements at Risk]],Final_VEValues[Elements at Risk],_xlfn.XLOOKUP(RiskStatements[[#This Row],[Exposure 2050 Header]],Final_VEValues[#Headers],Final_VEValues[]))</f>
        <v>M</v>
      </c>
      <c r="K61" s="22" t="str" cm="1">
        <f t="array" ref="K61">_xlfn.XLOOKUP(RiskStatements[[#This Row],[Elements at Risk]],Final_VEValues[Elements at Risk],_xlfn.XLOOKUP(RiskStatements[[#This Row],[Exposure 2100 Header]],Final_VEValues[#Headers],Final_VEValues[]))</f>
        <v>E</v>
      </c>
      <c r="L61" s="22" t="str">
        <f>_xlfn.CONCAT(RiskStatements[[#This Row],[Climate Variables/Explainers]]," risk to ",RiskStatements[[#This Row],[Elements at Risk]])</f>
        <v>Extreme Rainfall risk to Evacuation Structures</v>
      </c>
      <c r="M61" s="22" t="str" cm="1">
        <f t="array" ref="M61">_xlfn.XLOOKUP(RiskStatements[[#This Row],[Vulnerability Rating]],VEMatrix[Vulnerability],_xlfn.XLOOKUP(RiskStatements[[#This Row],[Exposure Rating - Present]],VEMatrix[#Headers],VEMatrix[]))</f>
        <v>Moderate</v>
      </c>
      <c r="N61" s="22" t="str" cm="1">
        <f t="array" ref="N61">_xlfn.XLOOKUP(RiskStatements[[#This Row],[Vulnerability Rating]],VEMatrix[Vulnerability],_xlfn.XLOOKUP(RiskStatements[[#This Row],[Exposure Rating - 2050]],VEMatrix[#Headers],VEMatrix[]))</f>
        <v>Moderate</v>
      </c>
      <c r="O61" s="22" t="str" cm="1">
        <f t="array" ref="O61">_xlfn.XLOOKUP(RiskStatements[[#This Row],[Vulnerability Rating]],VEMatrix[Vulnerability],_xlfn.XLOOKUP(RiskStatements[[#This Row],[Exposure Rating - 2100]],VEMatrix[#Headers],VEMatrix[]))</f>
        <v>Extreme</v>
      </c>
      <c r="P61" s="22">
        <f>_xlfn.XLOOKUP(RiskStatements[[#This Row],[Risk Rating - Present]],RatingOrder[Rating Order],RatingOrder[Rating Score],0,0)</f>
        <v>2</v>
      </c>
      <c r="Q61" s="22">
        <f>_xlfn.XLOOKUP(RiskStatements[[#This Row],[Risk Rating - 2050]],RatingOrder[Rating Order],RatingOrder[Rating Score],0,0)</f>
        <v>2</v>
      </c>
      <c r="R61" s="22">
        <f>_xlfn.XLOOKUP(RiskStatements[[#This Row],[Risk Rating - 2100]],RatingOrder[Rating Order],RatingOrder[Rating Score],0,0)</f>
        <v>4</v>
      </c>
      <c r="S6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62" spans="1:19" hidden="1" x14ac:dyDescent="0.35">
      <c r="A62" s="22" t="s">
        <v>46</v>
      </c>
      <c r="B62" s="22" t="s">
        <v>227</v>
      </c>
      <c r="C62" s="22" t="s">
        <v>134</v>
      </c>
      <c r="D62" s="22" t="str">
        <f>"V - " &amp;RiskStatements[[#This Row],[Climate Variables/Explainers]]</f>
        <v>V - Extreme Rainfall</v>
      </c>
      <c r="E62" s="22" t="str">
        <f>"EP - " &amp;RiskStatements[[#This Row],[Climate Variables/Explainers]]</f>
        <v>EP - Extreme Rainfall</v>
      </c>
      <c r="F62" s="22" t="str">
        <f>"E2050 - " &amp;RiskStatements[[#This Row],[Climate Variables/Explainers]]</f>
        <v>E2050 - Extreme Rainfall</v>
      </c>
      <c r="G62" s="22" t="str">
        <f>"E2100 - " &amp;RiskStatements[[#This Row],[Climate Variables/Explainers]]</f>
        <v>E2100 - Extreme Rainfall</v>
      </c>
      <c r="H62" s="22" t="str" cm="1">
        <f t="array" ref="H62">_xlfn.XLOOKUP(RiskStatements[[#This Row],[Elements at Risk]],Final_VEValues[Elements at Risk],_xlfn.XLOOKUP(RiskStatements[[#This Row],[Vulnerability Header]],Final_VEValues[#Headers],Final_VEValues[]))</f>
        <v>E</v>
      </c>
      <c r="I62" s="22" t="str" cm="1">
        <f t="array" ref="I62">_xlfn.XLOOKUP(RiskStatements[[#This Row],[Elements at Risk]],Final_VEValues[Elements at Risk],_xlfn.XLOOKUP(RiskStatements[[#This Row],[Exposure Present Header]],Final_VEValues[#Headers],Final_VEValues[]))</f>
        <v>H</v>
      </c>
      <c r="J62" s="22" t="str" cm="1">
        <f t="array" ref="J62">_xlfn.XLOOKUP(RiskStatements[[#This Row],[Elements at Risk]],Final_VEValues[Elements at Risk],_xlfn.XLOOKUP(RiskStatements[[#This Row],[Exposure 2050 Header]],Final_VEValues[#Headers],Final_VEValues[]))</f>
        <v>H</v>
      </c>
      <c r="K62" s="22" t="str" cm="1">
        <f t="array" ref="K62">_xlfn.XLOOKUP(RiskStatements[[#This Row],[Elements at Risk]],Final_VEValues[Elements at Risk],_xlfn.XLOOKUP(RiskStatements[[#This Row],[Exposure 2100 Header]],Final_VEValues[#Headers],Final_VEValues[]))</f>
        <v>H</v>
      </c>
      <c r="L62" s="22" t="str">
        <f>_xlfn.CONCAT(RiskStatements[[#This Row],[Climate Variables/Explainers]]," risk to ",RiskStatements[[#This Row],[Elements at Risk]])</f>
        <v>Extreme Rainfall risk to Outdoor Land Activities</v>
      </c>
      <c r="M62" s="22" t="str" cm="1">
        <f t="array" ref="M62">_xlfn.XLOOKUP(RiskStatements[[#This Row],[Vulnerability Rating]],VEMatrix[Vulnerability],_xlfn.XLOOKUP(RiskStatements[[#This Row],[Exposure Rating - Present]],VEMatrix[#Headers],VEMatrix[]))</f>
        <v>Extreme</v>
      </c>
      <c r="N62" s="22" t="str" cm="1">
        <f t="array" ref="N62">_xlfn.XLOOKUP(RiskStatements[[#This Row],[Vulnerability Rating]],VEMatrix[Vulnerability],_xlfn.XLOOKUP(RiskStatements[[#This Row],[Exposure Rating - 2050]],VEMatrix[#Headers],VEMatrix[]))</f>
        <v>Extreme</v>
      </c>
      <c r="O62" s="22" t="str" cm="1">
        <f t="array" ref="O62">_xlfn.XLOOKUP(RiskStatements[[#This Row],[Vulnerability Rating]],VEMatrix[Vulnerability],_xlfn.XLOOKUP(RiskStatements[[#This Row],[Exposure Rating - 2100]],VEMatrix[#Headers],VEMatrix[]))</f>
        <v>Extreme</v>
      </c>
      <c r="P62" s="22">
        <f>_xlfn.XLOOKUP(RiskStatements[[#This Row],[Risk Rating - Present]],RatingOrder[Rating Order],RatingOrder[Rating Score],0,0)</f>
        <v>4</v>
      </c>
      <c r="Q62" s="22">
        <f>_xlfn.XLOOKUP(RiskStatements[[#This Row],[Risk Rating - 2050]],RatingOrder[Rating Order],RatingOrder[Rating Score],0,0)</f>
        <v>4</v>
      </c>
      <c r="R62" s="22">
        <f>_xlfn.XLOOKUP(RiskStatements[[#This Row],[Risk Rating - 2100]],RatingOrder[Rating Order],RatingOrder[Rating Score],0,0)</f>
        <v>4</v>
      </c>
      <c r="S6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63" spans="1:19" hidden="1" x14ac:dyDescent="0.35">
      <c r="A63" s="22" t="s">
        <v>46</v>
      </c>
      <c r="B63" s="22" t="s">
        <v>226</v>
      </c>
      <c r="C63" s="22" t="s">
        <v>134</v>
      </c>
      <c r="D63" s="22" t="str">
        <f>"V - " &amp;RiskStatements[[#This Row],[Climate Variables/Explainers]]</f>
        <v>V - Extreme Rainfall</v>
      </c>
      <c r="E63" s="22" t="str">
        <f>"EP - " &amp;RiskStatements[[#This Row],[Climate Variables/Explainers]]</f>
        <v>EP - Extreme Rainfall</v>
      </c>
      <c r="F63" s="22" t="str">
        <f>"E2050 - " &amp;RiskStatements[[#This Row],[Climate Variables/Explainers]]</f>
        <v>E2050 - Extreme Rainfall</v>
      </c>
      <c r="G63" s="22" t="str">
        <f>"E2100 - " &amp;RiskStatements[[#This Row],[Climate Variables/Explainers]]</f>
        <v>E2100 - Extreme Rainfall</v>
      </c>
      <c r="H63" s="22" t="str" cm="1">
        <f t="array" ref="H63">_xlfn.XLOOKUP(RiskStatements[[#This Row],[Elements at Risk]],Final_VEValues[Elements at Risk],_xlfn.XLOOKUP(RiskStatements[[#This Row],[Vulnerability Header]],Final_VEValues[#Headers],Final_VEValues[]))</f>
        <v>E</v>
      </c>
      <c r="I63" s="22" t="str" cm="1">
        <f t="array" ref="I63">_xlfn.XLOOKUP(RiskStatements[[#This Row],[Elements at Risk]],Final_VEValues[Elements at Risk],_xlfn.XLOOKUP(RiskStatements[[#This Row],[Exposure Present Header]],Final_VEValues[#Headers],Final_VEValues[]))</f>
        <v>H</v>
      </c>
      <c r="J63" s="22" t="str" cm="1">
        <f t="array" ref="J63">_xlfn.XLOOKUP(RiskStatements[[#This Row],[Elements at Risk]],Final_VEValues[Elements at Risk],_xlfn.XLOOKUP(RiskStatements[[#This Row],[Exposure 2050 Header]],Final_VEValues[#Headers],Final_VEValues[]))</f>
        <v>H</v>
      </c>
      <c r="K63" s="22" t="str" cm="1">
        <f t="array" ref="K63">_xlfn.XLOOKUP(RiskStatements[[#This Row],[Elements at Risk]],Final_VEValues[Elements at Risk],_xlfn.XLOOKUP(RiskStatements[[#This Row],[Exposure 2100 Header]],Final_VEValues[#Headers],Final_VEValues[]))</f>
        <v>H</v>
      </c>
      <c r="L63" s="22" t="str">
        <f>_xlfn.CONCAT(RiskStatements[[#This Row],[Climate Variables/Explainers]]," risk to ",RiskStatements[[#This Row],[Elements at Risk]])</f>
        <v>Extreme Rainfall risk to Outdoor Marine Activities</v>
      </c>
      <c r="M63" s="22" t="str" cm="1">
        <f t="array" ref="M63">_xlfn.XLOOKUP(RiskStatements[[#This Row],[Vulnerability Rating]],VEMatrix[Vulnerability],_xlfn.XLOOKUP(RiskStatements[[#This Row],[Exposure Rating - Present]],VEMatrix[#Headers],VEMatrix[]))</f>
        <v>Extreme</v>
      </c>
      <c r="N63" s="22" t="str" cm="1">
        <f t="array" ref="N63">_xlfn.XLOOKUP(RiskStatements[[#This Row],[Vulnerability Rating]],VEMatrix[Vulnerability],_xlfn.XLOOKUP(RiskStatements[[#This Row],[Exposure Rating - 2050]],VEMatrix[#Headers],VEMatrix[]))</f>
        <v>Extreme</v>
      </c>
      <c r="O63" s="22" t="str" cm="1">
        <f t="array" ref="O63">_xlfn.XLOOKUP(RiskStatements[[#This Row],[Vulnerability Rating]],VEMatrix[Vulnerability],_xlfn.XLOOKUP(RiskStatements[[#This Row],[Exposure Rating - 2100]],VEMatrix[#Headers],VEMatrix[]))</f>
        <v>Extreme</v>
      </c>
      <c r="P63" s="22">
        <f>_xlfn.XLOOKUP(RiskStatements[[#This Row],[Risk Rating - Present]],RatingOrder[Rating Order],RatingOrder[Rating Score],0,0)</f>
        <v>4</v>
      </c>
      <c r="Q63" s="22">
        <f>_xlfn.XLOOKUP(RiskStatements[[#This Row],[Risk Rating - 2050]],RatingOrder[Rating Order],RatingOrder[Rating Score],0,0)</f>
        <v>4</v>
      </c>
      <c r="R63" s="22">
        <f>_xlfn.XLOOKUP(RiskStatements[[#This Row],[Risk Rating - 2100]],RatingOrder[Rating Order],RatingOrder[Rating Score],0,0)</f>
        <v>4</v>
      </c>
      <c r="S6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64" spans="1:19" hidden="1" x14ac:dyDescent="0.35">
      <c r="A64" s="22" t="s">
        <v>46</v>
      </c>
      <c r="B64" s="22" t="s">
        <v>225</v>
      </c>
      <c r="C64" s="22" t="s">
        <v>134</v>
      </c>
      <c r="D64" s="22" t="str">
        <f>"V - " &amp;RiskStatements[[#This Row],[Climate Variables/Explainers]]</f>
        <v>V - Extreme Rainfall</v>
      </c>
      <c r="E64" s="22" t="str">
        <f>"EP - " &amp;RiskStatements[[#This Row],[Climate Variables/Explainers]]</f>
        <v>EP - Extreme Rainfall</v>
      </c>
      <c r="F64" s="22" t="str">
        <f>"E2050 - " &amp;RiskStatements[[#This Row],[Climate Variables/Explainers]]</f>
        <v>E2050 - Extreme Rainfall</v>
      </c>
      <c r="G64" s="22" t="str">
        <f>"E2100 - " &amp;RiskStatements[[#This Row],[Climate Variables/Explainers]]</f>
        <v>E2100 - Extreme Rainfall</v>
      </c>
      <c r="H64" s="22" t="str" cm="1">
        <f t="array" ref="H64">_xlfn.XLOOKUP(RiskStatements[[#This Row],[Elements at Risk]],Final_VEValues[Elements at Risk],_xlfn.XLOOKUP(RiskStatements[[#This Row],[Vulnerability Header]],Final_VEValues[#Headers],Final_VEValues[]))</f>
        <v>E</v>
      </c>
      <c r="I64" s="22" t="str" cm="1">
        <f t="array" ref="I64">_xlfn.XLOOKUP(RiskStatements[[#This Row],[Elements at Risk]],Final_VEValues[Elements at Risk],_xlfn.XLOOKUP(RiskStatements[[#This Row],[Exposure Present Header]],Final_VEValues[#Headers],Final_VEValues[]))</f>
        <v>H</v>
      </c>
      <c r="J64" s="22" t="str" cm="1">
        <f t="array" ref="J64">_xlfn.XLOOKUP(RiskStatements[[#This Row],[Elements at Risk]],Final_VEValues[Elements at Risk],_xlfn.XLOOKUP(RiskStatements[[#This Row],[Exposure 2050 Header]],Final_VEValues[#Headers],Final_VEValues[]))</f>
        <v>H</v>
      </c>
      <c r="K64" s="22" t="str" cm="1">
        <f t="array" ref="K64">_xlfn.XLOOKUP(RiskStatements[[#This Row],[Elements at Risk]],Final_VEValues[Elements at Risk],_xlfn.XLOOKUP(RiskStatements[[#This Row],[Exposure 2100 Header]],Final_VEValues[#Headers],Final_VEValues[]))</f>
        <v>H</v>
      </c>
      <c r="L64" s="22" t="str">
        <f>_xlfn.CONCAT(RiskStatements[[#This Row],[Climate Variables/Explainers]]," risk to ",RiskStatements[[#This Row],[Elements at Risk]])</f>
        <v>Extreme Rainfall risk to Outdoor Freshwater Activities</v>
      </c>
      <c r="M64" s="22" t="str" cm="1">
        <f t="array" ref="M64">_xlfn.XLOOKUP(RiskStatements[[#This Row],[Vulnerability Rating]],VEMatrix[Vulnerability],_xlfn.XLOOKUP(RiskStatements[[#This Row],[Exposure Rating - Present]],VEMatrix[#Headers],VEMatrix[]))</f>
        <v>Extreme</v>
      </c>
      <c r="N64" s="22" t="str" cm="1">
        <f t="array" ref="N64">_xlfn.XLOOKUP(RiskStatements[[#This Row],[Vulnerability Rating]],VEMatrix[Vulnerability],_xlfn.XLOOKUP(RiskStatements[[#This Row],[Exposure Rating - 2050]],VEMatrix[#Headers],VEMatrix[]))</f>
        <v>Extreme</v>
      </c>
      <c r="O64" s="22" t="str" cm="1">
        <f t="array" ref="O64">_xlfn.XLOOKUP(RiskStatements[[#This Row],[Vulnerability Rating]],VEMatrix[Vulnerability],_xlfn.XLOOKUP(RiskStatements[[#This Row],[Exposure Rating - 2100]],VEMatrix[#Headers],VEMatrix[]))</f>
        <v>Extreme</v>
      </c>
      <c r="P64" s="22">
        <f>_xlfn.XLOOKUP(RiskStatements[[#This Row],[Risk Rating - Present]],RatingOrder[Rating Order],RatingOrder[Rating Score],0,0)</f>
        <v>4</v>
      </c>
      <c r="Q64" s="22">
        <f>_xlfn.XLOOKUP(RiskStatements[[#This Row],[Risk Rating - 2050]],RatingOrder[Rating Order],RatingOrder[Rating Score],0,0)</f>
        <v>4</v>
      </c>
      <c r="R64" s="22">
        <f>_xlfn.XLOOKUP(RiskStatements[[#This Row],[Risk Rating - 2100]],RatingOrder[Rating Order],RatingOrder[Rating Score],0,0)</f>
        <v>4</v>
      </c>
      <c r="S6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65" spans="1:19" hidden="1" x14ac:dyDescent="0.35">
      <c r="A65" s="22" t="s">
        <v>46</v>
      </c>
      <c r="B65" s="22" t="s">
        <v>79</v>
      </c>
      <c r="C65" s="22" t="s">
        <v>134</v>
      </c>
      <c r="D65" s="22" t="str">
        <f>"V - " &amp;RiskStatements[[#This Row],[Climate Variables/Explainers]]</f>
        <v>V - Extreme Rainfall</v>
      </c>
      <c r="E65" s="22" t="str">
        <f>"EP - " &amp;RiskStatements[[#This Row],[Climate Variables/Explainers]]</f>
        <v>EP - Extreme Rainfall</v>
      </c>
      <c r="F65" s="22" t="str">
        <f>"E2050 - " &amp;RiskStatements[[#This Row],[Climate Variables/Explainers]]</f>
        <v>E2050 - Extreme Rainfall</v>
      </c>
      <c r="G65" s="22" t="str">
        <f>"E2100 - " &amp;RiskStatements[[#This Row],[Climate Variables/Explainers]]</f>
        <v>E2100 - Extreme Rainfall</v>
      </c>
      <c r="H65" s="22" t="str" cm="1">
        <f t="array" ref="H65">_xlfn.XLOOKUP(RiskStatements[[#This Row],[Elements at Risk]],Final_VEValues[Elements at Risk],_xlfn.XLOOKUP(RiskStatements[[#This Row],[Vulnerability Header]],Final_VEValues[#Headers],Final_VEValues[]))</f>
        <v>E</v>
      </c>
      <c r="I65" s="22" t="str" cm="1">
        <f t="array" ref="I65">_xlfn.XLOOKUP(RiskStatements[[#This Row],[Elements at Risk]],Final_VEValues[Elements at Risk],_xlfn.XLOOKUP(RiskStatements[[#This Row],[Exposure Present Header]],Final_VEValues[#Headers],Final_VEValues[]))</f>
        <v>H</v>
      </c>
      <c r="J65" s="22" t="str" cm="1">
        <f t="array" ref="J65">_xlfn.XLOOKUP(RiskStatements[[#This Row],[Elements at Risk]],Final_VEValues[Elements at Risk],_xlfn.XLOOKUP(RiskStatements[[#This Row],[Exposure 2050 Header]],Final_VEValues[#Headers],Final_VEValues[]))</f>
        <v>H</v>
      </c>
      <c r="K65" s="22" t="str" cm="1">
        <f t="array" ref="K65">_xlfn.XLOOKUP(RiskStatements[[#This Row],[Elements at Risk]],Final_VEValues[Elements at Risk],_xlfn.XLOOKUP(RiskStatements[[#This Row],[Exposure 2100 Header]],Final_VEValues[#Headers],Final_VEValues[]))</f>
        <v>H</v>
      </c>
      <c r="L65" s="22" t="str">
        <f>_xlfn.CONCAT(RiskStatements[[#This Row],[Climate Variables/Explainers]]," risk to ",RiskStatements[[#This Row],[Elements at Risk]])</f>
        <v>Extreme Rainfall risk to Outdoor Coastal Activities</v>
      </c>
      <c r="M65" s="22" t="str" cm="1">
        <f t="array" ref="M65">_xlfn.XLOOKUP(RiskStatements[[#This Row],[Vulnerability Rating]],VEMatrix[Vulnerability],_xlfn.XLOOKUP(RiskStatements[[#This Row],[Exposure Rating - Present]],VEMatrix[#Headers],VEMatrix[]))</f>
        <v>Extreme</v>
      </c>
      <c r="N65" s="22" t="str" cm="1">
        <f t="array" ref="N65">_xlfn.XLOOKUP(RiskStatements[[#This Row],[Vulnerability Rating]],VEMatrix[Vulnerability],_xlfn.XLOOKUP(RiskStatements[[#This Row],[Exposure Rating - 2050]],VEMatrix[#Headers],VEMatrix[]))</f>
        <v>Extreme</v>
      </c>
      <c r="O65" s="22" t="str" cm="1">
        <f t="array" ref="O65">_xlfn.XLOOKUP(RiskStatements[[#This Row],[Vulnerability Rating]],VEMatrix[Vulnerability],_xlfn.XLOOKUP(RiskStatements[[#This Row],[Exposure Rating - 2100]],VEMatrix[#Headers],VEMatrix[]))</f>
        <v>Extreme</v>
      </c>
      <c r="P65" s="22">
        <f>_xlfn.XLOOKUP(RiskStatements[[#This Row],[Risk Rating - Present]],RatingOrder[Rating Order],RatingOrder[Rating Score],0,0)</f>
        <v>4</v>
      </c>
      <c r="Q65" s="22">
        <f>_xlfn.XLOOKUP(RiskStatements[[#This Row],[Risk Rating - 2050]],RatingOrder[Rating Order],RatingOrder[Rating Score],0,0)</f>
        <v>4</v>
      </c>
      <c r="R65" s="22">
        <f>_xlfn.XLOOKUP(RiskStatements[[#This Row],[Risk Rating - 2100]],RatingOrder[Rating Order],RatingOrder[Rating Score],0,0)</f>
        <v>4</v>
      </c>
      <c r="S6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66" spans="1:19" hidden="1" x14ac:dyDescent="0.35">
      <c r="A66" s="22" t="s">
        <v>46</v>
      </c>
      <c r="B66" s="175" t="s">
        <v>443</v>
      </c>
      <c r="C66" s="22" t="s">
        <v>134</v>
      </c>
      <c r="D66" s="22" t="str">
        <f>"V - " &amp;RiskStatements[[#This Row],[Climate Variables/Explainers]]</f>
        <v>V - Extreme Rainfall</v>
      </c>
      <c r="E66" s="22" t="str">
        <f>"EP - " &amp;RiskStatements[[#This Row],[Climate Variables/Explainers]]</f>
        <v>EP - Extreme Rainfall</v>
      </c>
      <c r="F66" s="22" t="str">
        <f>"E2050 - " &amp;RiskStatements[[#This Row],[Climate Variables/Explainers]]</f>
        <v>E2050 - Extreme Rainfall</v>
      </c>
      <c r="G66" s="22" t="str">
        <f>"E2100 - " &amp;RiskStatements[[#This Row],[Climate Variables/Explainers]]</f>
        <v>E2100 - Extreme Rainfall</v>
      </c>
      <c r="H66" s="22" t="str" cm="1">
        <f t="array" ref="H66">_xlfn.XLOOKUP(RiskStatements[[#This Row],[Elements at Risk]],Final_VEValues[Elements at Risk],_xlfn.XLOOKUP(RiskStatements[[#This Row],[Vulnerability Header]],Final_VEValues[#Headers],Final_VEValues[]))</f>
        <v>E</v>
      </c>
      <c r="I66" s="22" t="str" cm="1">
        <f t="array" ref="I66">_xlfn.XLOOKUP(RiskStatements[[#This Row],[Elements at Risk]],Final_VEValues[Elements at Risk],_xlfn.XLOOKUP(RiskStatements[[#This Row],[Exposure Present Header]],Final_VEValues[#Headers],Final_VEValues[]))</f>
        <v>H</v>
      </c>
      <c r="J66" s="22" t="str" cm="1">
        <f t="array" ref="J66">_xlfn.XLOOKUP(RiskStatements[[#This Row],[Elements at Risk]],Final_VEValues[Elements at Risk],_xlfn.XLOOKUP(RiskStatements[[#This Row],[Exposure 2050 Header]],Final_VEValues[#Headers],Final_VEValues[]))</f>
        <v>H</v>
      </c>
      <c r="K66" s="22" t="str" cm="1">
        <f t="array" ref="K66">_xlfn.XLOOKUP(RiskStatements[[#This Row],[Elements at Risk]],Final_VEValues[Elements at Risk],_xlfn.XLOOKUP(RiskStatements[[#This Row],[Exposure 2100 Header]],Final_VEValues[#Headers],Final_VEValues[]))</f>
        <v>H</v>
      </c>
      <c r="L66" s="22" t="str">
        <f>_xlfn.CONCAT(RiskStatements[[#This Row],[Climate Variables/Explainers]]," risk to ",RiskStatements[[#This Row],[Elements at Risk]])</f>
        <v>Extreme Rainfall risk to Land Transportation Activities</v>
      </c>
      <c r="M66" s="22" t="str" cm="1">
        <f t="array" ref="M66">_xlfn.XLOOKUP(RiskStatements[[#This Row],[Vulnerability Rating]],VEMatrix[Vulnerability],_xlfn.XLOOKUP(RiskStatements[[#This Row],[Exposure Rating - Present]],VEMatrix[#Headers],VEMatrix[]))</f>
        <v>Extreme</v>
      </c>
      <c r="N66" s="22" t="str" cm="1">
        <f t="array" ref="N66">_xlfn.XLOOKUP(RiskStatements[[#This Row],[Vulnerability Rating]],VEMatrix[Vulnerability],_xlfn.XLOOKUP(RiskStatements[[#This Row],[Exposure Rating - 2050]],VEMatrix[#Headers],VEMatrix[]))</f>
        <v>Extreme</v>
      </c>
      <c r="O66" s="22" t="str" cm="1">
        <f t="array" ref="O66">_xlfn.XLOOKUP(RiskStatements[[#This Row],[Vulnerability Rating]],VEMatrix[Vulnerability],_xlfn.XLOOKUP(RiskStatements[[#This Row],[Exposure Rating - 2100]],VEMatrix[#Headers],VEMatrix[]))</f>
        <v>Extreme</v>
      </c>
      <c r="P66" s="22">
        <f>_xlfn.XLOOKUP(RiskStatements[[#This Row],[Risk Rating - Present]],RatingOrder[Rating Order],RatingOrder[Rating Score],0,0)</f>
        <v>4</v>
      </c>
      <c r="Q66" s="22">
        <f>_xlfn.XLOOKUP(RiskStatements[[#This Row],[Risk Rating - 2050]],RatingOrder[Rating Order],RatingOrder[Rating Score],0,0)</f>
        <v>4</v>
      </c>
      <c r="R66" s="22">
        <f>_xlfn.XLOOKUP(RiskStatements[[#This Row],[Risk Rating - 2100]],RatingOrder[Rating Order],RatingOrder[Rating Score],0,0)</f>
        <v>4</v>
      </c>
      <c r="S6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67" spans="1:19" hidden="1" x14ac:dyDescent="0.35">
      <c r="A67" s="22" t="s">
        <v>46</v>
      </c>
      <c r="B67" s="22" t="s">
        <v>222</v>
      </c>
      <c r="C67" s="22" t="s">
        <v>134</v>
      </c>
      <c r="D67" s="22" t="str">
        <f>"V - " &amp;RiskStatements[[#This Row],[Climate Variables/Explainers]]</f>
        <v>V - Extreme Rainfall</v>
      </c>
      <c r="E67" s="22" t="str">
        <f>"EP - " &amp;RiskStatements[[#This Row],[Climate Variables/Explainers]]</f>
        <v>EP - Extreme Rainfall</v>
      </c>
      <c r="F67" s="22" t="str">
        <f>"E2050 - " &amp;RiskStatements[[#This Row],[Climate Variables/Explainers]]</f>
        <v>E2050 - Extreme Rainfall</v>
      </c>
      <c r="G67" s="22" t="str">
        <f>"E2100 - " &amp;RiskStatements[[#This Row],[Climate Variables/Explainers]]</f>
        <v>E2100 - Extreme Rainfall</v>
      </c>
      <c r="H67" s="22" t="str" cm="1">
        <f t="array" ref="H67">_xlfn.XLOOKUP(RiskStatements[[#This Row],[Elements at Risk]],Final_VEValues[Elements at Risk],_xlfn.XLOOKUP(RiskStatements[[#This Row],[Vulnerability Header]],Final_VEValues[#Headers],Final_VEValues[]))</f>
        <v>E</v>
      </c>
      <c r="I67" s="22" t="str" cm="1">
        <f t="array" ref="I67">_xlfn.XLOOKUP(RiskStatements[[#This Row],[Elements at Risk]],Final_VEValues[Elements at Risk],_xlfn.XLOOKUP(RiskStatements[[#This Row],[Exposure Present Header]],Final_VEValues[#Headers],Final_VEValues[]))</f>
        <v>H</v>
      </c>
      <c r="J67" s="22" t="str" cm="1">
        <f t="array" ref="J67">_xlfn.XLOOKUP(RiskStatements[[#This Row],[Elements at Risk]],Final_VEValues[Elements at Risk],_xlfn.XLOOKUP(RiskStatements[[#This Row],[Exposure 2050 Header]],Final_VEValues[#Headers],Final_VEValues[]))</f>
        <v>H</v>
      </c>
      <c r="K67" s="22" t="str" cm="1">
        <f t="array" ref="K67">_xlfn.XLOOKUP(RiskStatements[[#This Row],[Elements at Risk]],Final_VEValues[Elements at Risk],_xlfn.XLOOKUP(RiskStatements[[#This Row],[Exposure 2100 Header]],Final_VEValues[#Headers],Final_VEValues[]))</f>
        <v>H</v>
      </c>
      <c r="L67" s="22" t="str">
        <f>_xlfn.CONCAT(RiskStatements[[#This Row],[Climate Variables/Explainers]]," risk to ",RiskStatements[[#This Row],[Elements at Risk]])</f>
        <v>Extreme Rainfall risk to Water Transportation Activities</v>
      </c>
      <c r="M67" s="22" t="str" cm="1">
        <f t="array" ref="M67">_xlfn.XLOOKUP(RiskStatements[[#This Row],[Vulnerability Rating]],VEMatrix[Vulnerability],_xlfn.XLOOKUP(RiskStatements[[#This Row],[Exposure Rating - Present]],VEMatrix[#Headers],VEMatrix[]))</f>
        <v>Extreme</v>
      </c>
      <c r="N67" s="22" t="str" cm="1">
        <f t="array" ref="N67">_xlfn.XLOOKUP(RiskStatements[[#This Row],[Vulnerability Rating]],VEMatrix[Vulnerability],_xlfn.XLOOKUP(RiskStatements[[#This Row],[Exposure Rating - 2050]],VEMatrix[#Headers],VEMatrix[]))</f>
        <v>Extreme</v>
      </c>
      <c r="O67" s="22" t="str" cm="1">
        <f t="array" ref="O67">_xlfn.XLOOKUP(RiskStatements[[#This Row],[Vulnerability Rating]],VEMatrix[Vulnerability],_xlfn.XLOOKUP(RiskStatements[[#This Row],[Exposure Rating - 2100]],VEMatrix[#Headers],VEMatrix[]))</f>
        <v>Extreme</v>
      </c>
      <c r="P67" s="22">
        <f>_xlfn.XLOOKUP(RiskStatements[[#This Row],[Risk Rating - Present]],RatingOrder[Rating Order],RatingOrder[Rating Score],0,0)</f>
        <v>4</v>
      </c>
      <c r="Q67" s="22">
        <f>_xlfn.XLOOKUP(RiskStatements[[#This Row],[Risk Rating - 2050]],RatingOrder[Rating Order],RatingOrder[Rating Score],0,0)</f>
        <v>4</v>
      </c>
      <c r="R67" s="22">
        <f>_xlfn.XLOOKUP(RiskStatements[[#This Row],[Risk Rating - 2100]],RatingOrder[Rating Order],RatingOrder[Rating Score],0,0)</f>
        <v>4</v>
      </c>
      <c r="S6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68" spans="1:19" hidden="1" x14ac:dyDescent="0.35">
      <c r="A68" s="22" t="s">
        <v>46</v>
      </c>
      <c r="B68" s="22" t="s">
        <v>221</v>
      </c>
      <c r="C68" s="22" t="s">
        <v>134</v>
      </c>
      <c r="D68" s="22" t="str">
        <f>"V - " &amp;RiskStatements[[#This Row],[Climate Variables/Explainers]]</f>
        <v>V - Extreme Rainfall</v>
      </c>
      <c r="E68" s="22" t="str">
        <f>"EP - " &amp;RiskStatements[[#This Row],[Climate Variables/Explainers]]</f>
        <v>EP - Extreme Rainfall</v>
      </c>
      <c r="F68" s="22" t="str">
        <f>"E2050 - " &amp;RiskStatements[[#This Row],[Climate Variables/Explainers]]</f>
        <v>E2050 - Extreme Rainfall</v>
      </c>
      <c r="G68" s="22" t="str">
        <f>"E2100 - " &amp;RiskStatements[[#This Row],[Climate Variables/Explainers]]</f>
        <v>E2100 - Extreme Rainfall</v>
      </c>
      <c r="H68" s="22" t="str" cm="1">
        <f t="array" ref="H68">_xlfn.XLOOKUP(RiskStatements[[#This Row],[Elements at Risk]],Final_VEValues[Elements at Risk],_xlfn.XLOOKUP(RiskStatements[[#This Row],[Vulnerability Header]],Final_VEValues[#Headers],Final_VEValues[]))</f>
        <v>M</v>
      </c>
      <c r="I68" s="22" t="str" cm="1">
        <f t="array" ref="I68">_xlfn.XLOOKUP(RiskStatements[[#This Row],[Elements at Risk]],Final_VEValues[Elements at Risk],_xlfn.XLOOKUP(RiskStatements[[#This Row],[Exposure Present Header]],Final_VEValues[#Headers],Final_VEValues[]))</f>
        <v>L</v>
      </c>
      <c r="J68" s="22" t="str" cm="1">
        <f t="array" ref="J68">_xlfn.XLOOKUP(RiskStatements[[#This Row],[Elements at Risk]],Final_VEValues[Elements at Risk],_xlfn.XLOOKUP(RiskStatements[[#This Row],[Exposure 2050 Header]],Final_VEValues[#Headers],Final_VEValues[]))</f>
        <v>M</v>
      </c>
      <c r="K68" s="22" t="str" cm="1">
        <f t="array" ref="K68">_xlfn.XLOOKUP(RiskStatements[[#This Row],[Elements at Risk]],Final_VEValues[Elements at Risk],_xlfn.XLOOKUP(RiskStatements[[#This Row],[Exposure 2100 Header]],Final_VEValues[#Headers],Final_VEValues[]))</f>
        <v>H</v>
      </c>
      <c r="L68" s="22" t="str">
        <f>_xlfn.CONCAT(RiskStatements[[#This Row],[Climate Variables/Explainers]]," risk to ",RiskStatements[[#This Row],[Elements at Risk]])</f>
        <v>Extreme Rainfall risk to Office / Shop / Admin Activities</v>
      </c>
      <c r="M68" s="22" t="str" cm="1">
        <f t="array" ref="M68">_xlfn.XLOOKUP(RiskStatements[[#This Row],[Vulnerability Rating]],VEMatrix[Vulnerability],_xlfn.XLOOKUP(RiskStatements[[#This Row],[Exposure Rating - Present]],VEMatrix[#Headers],VEMatrix[]))</f>
        <v>Low</v>
      </c>
      <c r="N68" s="22" t="str" cm="1">
        <f t="array" ref="N68">_xlfn.XLOOKUP(RiskStatements[[#This Row],[Vulnerability Rating]],VEMatrix[Vulnerability],_xlfn.XLOOKUP(RiskStatements[[#This Row],[Exposure Rating - 2050]],VEMatrix[#Headers],VEMatrix[]))</f>
        <v>Moderate</v>
      </c>
      <c r="O68" s="22" t="str" cm="1">
        <f t="array" ref="O68">_xlfn.XLOOKUP(RiskStatements[[#This Row],[Vulnerability Rating]],VEMatrix[Vulnerability],_xlfn.XLOOKUP(RiskStatements[[#This Row],[Exposure Rating - 2100]],VEMatrix[#Headers],VEMatrix[]))</f>
        <v>Moderate</v>
      </c>
      <c r="P68" s="22">
        <f>_xlfn.XLOOKUP(RiskStatements[[#This Row],[Risk Rating - Present]],RatingOrder[Rating Order],RatingOrder[Rating Score],0,0)</f>
        <v>1</v>
      </c>
      <c r="Q68" s="22">
        <f>_xlfn.XLOOKUP(RiskStatements[[#This Row],[Risk Rating - 2050]],RatingOrder[Rating Order],RatingOrder[Rating Score],0,0)</f>
        <v>2</v>
      </c>
      <c r="R68" s="22">
        <f>_xlfn.XLOOKUP(RiskStatements[[#This Row],[Risk Rating - 2100]],RatingOrder[Rating Order],RatingOrder[Rating Score],0,0)</f>
        <v>2</v>
      </c>
      <c r="S6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69" spans="1:19" hidden="1" x14ac:dyDescent="0.35">
      <c r="A69" s="22" t="s">
        <v>46</v>
      </c>
      <c r="B69" s="22" t="s">
        <v>219</v>
      </c>
      <c r="C69" s="22" t="s">
        <v>134</v>
      </c>
      <c r="D69" s="22" t="str">
        <f>"V - " &amp;RiskStatements[[#This Row],[Climate Variables/Explainers]]</f>
        <v>V - Extreme Rainfall</v>
      </c>
      <c r="E69" s="22" t="str">
        <f>"EP - " &amp;RiskStatements[[#This Row],[Climate Variables/Explainers]]</f>
        <v>EP - Extreme Rainfall</v>
      </c>
      <c r="F69" s="22" t="str">
        <f>"E2050 - " &amp;RiskStatements[[#This Row],[Climate Variables/Explainers]]</f>
        <v>E2050 - Extreme Rainfall</v>
      </c>
      <c r="G69" s="22" t="str">
        <f>"E2100 - " &amp;RiskStatements[[#This Row],[Climate Variables/Explainers]]</f>
        <v>E2100 - Extreme Rainfall</v>
      </c>
      <c r="H69" s="22" t="str" cm="1">
        <f t="array" ref="H69">_xlfn.XLOOKUP(RiskStatements[[#This Row],[Elements at Risk]],Final_VEValues[Elements at Risk],_xlfn.XLOOKUP(RiskStatements[[#This Row],[Vulnerability Header]],Final_VEValues[#Headers],Final_VEValues[]))</f>
        <v>H</v>
      </c>
      <c r="I69" s="22" t="str" cm="1">
        <f t="array" ref="I69">_xlfn.XLOOKUP(RiskStatements[[#This Row],[Elements at Risk]],Final_VEValues[Elements at Risk],_xlfn.XLOOKUP(RiskStatements[[#This Row],[Exposure Present Header]],Final_VEValues[#Headers],Final_VEValues[]))</f>
        <v>L</v>
      </c>
      <c r="J69" s="22" t="str" cm="1">
        <f t="array" ref="J69">_xlfn.XLOOKUP(RiskStatements[[#This Row],[Elements at Risk]],Final_VEValues[Elements at Risk],_xlfn.XLOOKUP(RiskStatements[[#This Row],[Exposure 2050 Header]],Final_VEValues[#Headers],Final_VEValues[]))</f>
        <v>M</v>
      </c>
      <c r="K69" s="22" t="str" cm="1">
        <f t="array" ref="K69">_xlfn.XLOOKUP(RiskStatements[[#This Row],[Elements at Risk]],Final_VEValues[Elements at Risk],_xlfn.XLOOKUP(RiskStatements[[#This Row],[Exposure 2100 Header]],Final_VEValues[#Headers],Final_VEValues[]))</f>
        <v>H</v>
      </c>
      <c r="L69" s="22" t="str">
        <f>_xlfn.CONCAT(RiskStatements[[#This Row],[Climate Variables/Explainers]]," risk to ",RiskStatements[[#This Row],[Elements at Risk]])</f>
        <v>Extreme Rainfall risk to Goods Supply Activities</v>
      </c>
      <c r="M69" s="22" t="str" cm="1">
        <f t="array" ref="M69">_xlfn.XLOOKUP(RiskStatements[[#This Row],[Vulnerability Rating]],VEMatrix[Vulnerability],_xlfn.XLOOKUP(RiskStatements[[#This Row],[Exposure Rating - Present]],VEMatrix[#Headers],VEMatrix[]))</f>
        <v>Low</v>
      </c>
      <c r="N69" s="22" t="str" cm="1">
        <f t="array" ref="N69">_xlfn.XLOOKUP(RiskStatements[[#This Row],[Vulnerability Rating]],VEMatrix[Vulnerability],_xlfn.XLOOKUP(RiskStatements[[#This Row],[Exposure Rating - 2050]],VEMatrix[#Headers],VEMatrix[]))</f>
        <v>Moderate</v>
      </c>
      <c r="O69" s="22" t="str" cm="1">
        <f t="array" ref="O69">_xlfn.XLOOKUP(RiskStatements[[#This Row],[Vulnerability Rating]],VEMatrix[Vulnerability],_xlfn.XLOOKUP(RiskStatements[[#This Row],[Exposure Rating - 2100]],VEMatrix[#Headers],VEMatrix[]))</f>
        <v>High</v>
      </c>
      <c r="P69" s="22">
        <f>_xlfn.XLOOKUP(RiskStatements[[#This Row],[Risk Rating - Present]],RatingOrder[Rating Order],RatingOrder[Rating Score],0,0)</f>
        <v>1</v>
      </c>
      <c r="Q69" s="22">
        <f>_xlfn.XLOOKUP(RiskStatements[[#This Row],[Risk Rating - 2050]],RatingOrder[Rating Order],RatingOrder[Rating Score],0,0)</f>
        <v>2</v>
      </c>
      <c r="R69" s="22">
        <f>_xlfn.XLOOKUP(RiskStatements[[#This Row],[Risk Rating - 2100]],RatingOrder[Rating Order],RatingOrder[Rating Score],0,0)</f>
        <v>3</v>
      </c>
      <c r="S6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70" spans="1:19" hidden="1" x14ac:dyDescent="0.35">
      <c r="A70" s="22" t="s">
        <v>46</v>
      </c>
      <c r="B70" s="22" t="s">
        <v>217</v>
      </c>
      <c r="C70" s="22" t="s">
        <v>134</v>
      </c>
      <c r="D70" s="22" t="str">
        <f>"V - " &amp;RiskStatements[[#This Row],[Climate Variables/Explainers]]</f>
        <v>V - Extreme Rainfall</v>
      </c>
      <c r="E70" s="22" t="str">
        <f>"EP - " &amp;RiskStatements[[#This Row],[Climate Variables/Explainers]]</f>
        <v>EP - Extreme Rainfall</v>
      </c>
      <c r="F70" s="22" t="str">
        <f>"E2050 - " &amp;RiskStatements[[#This Row],[Climate Variables/Explainers]]</f>
        <v>E2050 - Extreme Rainfall</v>
      </c>
      <c r="G70" s="22" t="str">
        <f>"E2100 - " &amp;RiskStatements[[#This Row],[Climate Variables/Explainers]]</f>
        <v>E2100 - Extreme Rainfall</v>
      </c>
      <c r="H70" s="22" t="str" cm="1">
        <f t="array" ref="H70">_xlfn.XLOOKUP(RiskStatements[[#This Row],[Elements at Risk]],Final_VEValues[Elements at Risk],_xlfn.XLOOKUP(RiskStatements[[#This Row],[Vulnerability Header]],Final_VEValues[#Headers],Final_VEValues[]))</f>
        <v>M</v>
      </c>
      <c r="I70" s="22" t="str" cm="1">
        <f t="array" ref="I70">_xlfn.XLOOKUP(RiskStatements[[#This Row],[Elements at Risk]],Final_VEValues[Elements at Risk],_xlfn.XLOOKUP(RiskStatements[[#This Row],[Exposure Present Header]],Final_VEValues[#Headers],Final_VEValues[]))</f>
        <v>H</v>
      </c>
      <c r="J70" s="22" t="str" cm="1">
        <f t="array" ref="J70">_xlfn.XLOOKUP(RiskStatements[[#This Row],[Elements at Risk]],Final_VEValues[Elements at Risk],_xlfn.XLOOKUP(RiskStatements[[#This Row],[Exposure 2050 Header]],Final_VEValues[#Headers],Final_VEValues[]))</f>
        <v>H</v>
      </c>
      <c r="K70" s="22" t="str" cm="1">
        <f t="array" ref="K70">_xlfn.XLOOKUP(RiskStatements[[#This Row],[Elements at Risk]],Final_VEValues[Elements at Risk],_xlfn.XLOOKUP(RiskStatements[[#This Row],[Exposure 2100 Header]],Final_VEValues[#Headers],Final_VEValues[]))</f>
        <v>H</v>
      </c>
      <c r="L70" s="22" t="str">
        <f>_xlfn.CONCAT(RiskStatements[[#This Row],[Climate Variables/Explainers]]," risk to ",RiskStatements[[#This Row],[Elements at Risk]])</f>
        <v>Extreme Rainfall risk to Construction Activities</v>
      </c>
      <c r="M70" s="22" t="str" cm="1">
        <f t="array" ref="M70">_xlfn.XLOOKUP(RiskStatements[[#This Row],[Vulnerability Rating]],VEMatrix[Vulnerability],_xlfn.XLOOKUP(RiskStatements[[#This Row],[Exposure Rating - Present]],VEMatrix[#Headers],VEMatrix[]))</f>
        <v>Moderate</v>
      </c>
      <c r="N70" s="22" t="str" cm="1">
        <f t="array" ref="N70">_xlfn.XLOOKUP(RiskStatements[[#This Row],[Vulnerability Rating]],VEMatrix[Vulnerability],_xlfn.XLOOKUP(RiskStatements[[#This Row],[Exposure Rating - 2050]],VEMatrix[#Headers],VEMatrix[]))</f>
        <v>Moderate</v>
      </c>
      <c r="O70" s="22" t="str" cm="1">
        <f t="array" ref="O70">_xlfn.XLOOKUP(RiskStatements[[#This Row],[Vulnerability Rating]],VEMatrix[Vulnerability],_xlfn.XLOOKUP(RiskStatements[[#This Row],[Exposure Rating - 2100]],VEMatrix[#Headers],VEMatrix[]))</f>
        <v>Moderate</v>
      </c>
      <c r="P70" s="22">
        <f>_xlfn.XLOOKUP(RiskStatements[[#This Row],[Risk Rating - Present]],RatingOrder[Rating Order],RatingOrder[Rating Score],0,0)</f>
        <v>2</v>
      </c>
      <c r="Q70" s="22">
        <f>_xlfn.XLOOKUP(RiskStatements[[#This Row],[Risk Rating - 2050]],RatingOrder[Rating Order],RatingOrder[Rating Score],0,0)</f>
        <v>2</v>
      </c>
      <c r="R70" s="22">
        <f>_xlfn.XLOOKUP(RiskStatements[[#This Row],[Risk Rating - 2100]],RatingOrder[Rating Order],RatingOrder[Rating Score],0,0)</f>
        <v>2</v>
      </c>
      <c r="S7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71" spans="1:19" x14ac:dyDescent="0.35">
      <c r="A71" s="22" t="s">
        <v>111</v>
      </c>
      <c r="B71" s="22" t="s">
        <v>112</v>
      </c>
      <c r="C71" s="22" t="s">
        <v>424</v>
      </c>
      <c r="D71" s="22" t="str">
        <f>"V - " &amp;RiskStatements[[#This Row],[Climate Variables/Explainers]]</f>
        <v>V - Extreme Temperature</v>
      </c>
      <c r="E71" s="22" t="str">
        <f>"EP - " &amp;RiskStatements[[#This Row],[Climate Variables/Explainers]]</f>
        <v>EP - Extreme Temperature</v>
      </c>
      <c r="F71" s="22" t="str">
        <f>"E2050 - " &amp;RiskStatements[[#This Row],[Climate Variables/Explainers]]</f>
        <v>E2050 - Extreme Temperature</v>
      </c>
      <c r="G71" s="22" t="str">
        <f>"E2100 - " &amp;RiskStatements[[#This Row],[Climate Variables/Explainers]]</f>
        <v>E2100 - Extreme Temperature</v>
      </c>
      <c r="H71" s="22" t="str" cm="1">
        <f t="array" ref="H71">_xlfn.XLOOKUP(RiskStatements[[#This Row],[Elements at Risk]],Final_VEValues[Elements at Risk],_xlfn.XLOOKUP(RiskStatements[[#This Row],[Vulnerability Header]],Final_VEValues[#Headers],Final_VEValues[]))</f>
        <v>H</v>
      </c>
      <c r="I71" s="22" t="str" cm="1">
        <f t="array" ref="I71">_xlfn.XLOOKUP(RiskStatements[[#This Row],[Elements at Risk]],Final_VEValues[Elements at Risk],_xlfn.XLOOKUP(RiskStatements[[#This Row],[Exposure Present Header]],Final_VEValues[#Headers],Final_VEValues[]))</f>
        <v>H</v>
      </c>
      <c r="J71" s="22" t="str" cm="1">
        <f t="array" ref="J71">_xlfn.XLOOKUP(RiskStatements[[#This Row],[Elements at Risk]],Final_VEValues[Elements at Risk],_xlfn.XLOOKUP(RiskStatements[[#This Row],[Exposure 2050 Header]],Final_VEValues[#Headers],Final_VEValues[]))</f>
        <v>E</v>
      </c>
      <c r="K71" s="22" t="str" cm="1">
        <f t="array" ref="K71">_xlfn.XLOOKUP(RiskStatements[[#This Row],[Elements at Risk]],Final_VEValues[Elements at Risk],_xlfn.XLOOKUP(RiskStatements[[#This Row],[Exposure 2100 Header]],Final_VEValues[#Headers],Final_VEValues[]))</f>
        <v>E</v>
      </c>
      <c r="L71" s="22" t="str">
        <f>_xlfn.CONCAT(RiskStatements[[#This Row],[Climate Variables/Explainers]]," risk to ",RiskStatements[[#This Row],[Elements at Risk]])</f>
        <v>Extreme Temperature risk to Coastal / Marine Ecosystems</v>
      </c>
      <c r="M71" s="22" t="str" cm="1">
        <f t="array" ref="M71">_xlfn.XLOOKUP(RiskStatements[[#This Row],[Vulnerability Rating]],VEMatrix[Vulnerability],_xlfn.XLOOKUP(RiskStatements[[#This Row],[Exposure Rating - Present]],VEMatrix[#Headers],VEMatrix[]))</f>
        <v>High</v>
      </c>
      <c r="N71" s="22" t="str" cm="1">
        <f t="array" ref="N71">_xlfn.XLOOKUP(RiskStatements[[#This Row],[Vulnerability Rating]],VEMatrix[Vulnerability],_xlfn.XLOOKUP(RiskStatements[[#This Row],[Exposure Rating - 2050]],VEMatrix[#Headers],VEMatrix[]))</f>
        <v>Extreme</v>
      </c>
      <c r="O71" s="22" t="str" cm="1">
        <f t="array" ref="O71">_xlfn.XLOOKUP(RiskStatements[[#This Row],[Vulnerability Rating]],VEMatrix[Vulnerability],_xlfn.XLOOKUP(RiskStatements[[#This Row],[Exposure Rating - 2100]],VEMatrix[#Headers],VEMatrix[]))</f>
        <v>Extreme</v>
      </c>
      <c r="P71" s="22">
        <f>_xlfn.XLOOKUP(RiskStatements[[#This Row],[Risk Rating - Present]],RatingOrder[Rating Order],RatingOrder[Rating Score],0,0)</f>
        <v>3</v>
      </c>
      <c r="Q71" s="22">
        <f>_xlfn.XLOOKUP(RiskStatements[[#This Row],[Risk Rating - 2050]],RatingOrder[Rating Order],RatingOrder[Rating Score],0,0)</f>
        <v>4</v>
      </c>
      <c r="R71" s="22">
        <f>_xlfn.XLOOKUP(RiskStatements[[#This Row],[Risk Rating - 2100]],RatingOrder[Rating Order],RatingOrder[Rating Score],0,0)</f>
        <v>4</v>
      </c>
      <c r="S7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72" spans="1:19" hidden="1" x14ac:dyDescent="0.35">
      <c r="A72" s="22" t="s">
        <v>111</v>
      </c>
      <c r="B72" s="22" t="s">
        <v>117</v>
      </c>
      <c r="C72" s="22" t="s">
        <v>424</v>
      </c>
      <c r="D72" s="22" t="str">
        <f>"V - " &amp;RiskStatements[[#This Row],[Climate Variables/Explainers]]</f>
        <v>V - Extreme Temperature</v>
      </c>
      <c r="E72" s="22" t="str">
        <f>"EP - " &amp;RiskStatements[[#This Row],[Climate Variables/Explainers]]</f>
        <v>EP - Extreme Temperature</v>
      </c>
      <c r="F72" s="22" t="str">
        <f>"E2050 - " &amp;RiskStatements[[#This Row],[Climate Variables/Explainers]]</f>
        <v>E2050 - Extreme Temperature</v>
      </c>
      <c r="G72" s="22" t="str">
        <f>"E2100 - " &amp;RiskStatements[[#This Row],[Climate Variables/Explainers]]</f>
        <v>E2100 - Extreme Temperature</v>
      </c>
      <c r="H72" s="22" t="str" cm="1">
        <f t="array" ref="H72">_xlfn.XLOOKUP(RiskStatements[[#This Row],[Elements at Risk]],Final_VEValues[Elements at Risk],_xlfn.XLOOKUP(RiskStatements[[#This Row],[Vulnerability Header]],Final_VEValues[#Headers],Final_VEValues[]))</f>
        <v>H</v>
      </c>
      <c r="I72" s="22" t="str" cm="1">
        <f t="array" ref="I72">_xlfn.XLOOKUP(RiskStatements[[#This Row],[Elements at Risk]],Final_VEValues[Elements at Risk],_xlfn.XLOOKUP(RiskStatements[[#This Row],[Exposure Present Header]],Final_VEValues[#Headers],Final_VEValues[]))</f>
        <v>H</v>
      </c>
      <c r="J72" s="22" t="str" cm="1">
        <f t="array" ref="J72">_xlfn.XLOOKUP(RiskStatements[[#This Row],[Elements at Risk]],Final_VEValues[Elements at Risk],_xlfn.XLOOKUP(RiskStatements[[#This Row],[Exposure 2050 Header]],Final_VEValues[#Headers],Final_VEValues[]))</f>
        <v>E</v>
      </c>
      <c r="K72" s="22" t="str" cm="1">
        <f t="array" ref="K72">_xlfn.XLOOKUP(RiskStatements[[#This Row],[Elements at Risk]],Final_VEValues[Elements at Risk],_xlfn.XLOOKUP(RiskStatements[[#This Row],[Exposure 2100 Header]],Final_VEValues[#Headers],Final_VEValues[]))</f>
        <v>E</v>
      </c>
      <c r="L72" s="22" t="str">
        <f>_xlfn.CONCAT(RiskStatements[[#This Row],[Climate Variables/Explainers]]," risk to ",RiskStatements[[#This Row],[Elements at Risk]])</f>
        <v>Extreme Temperature risk to Terrestrial Ecosystems</v>
      </c>
      <c r="M72" s="22" t="str" cm="1">
        <f t="array" ref="M72">_xlfn.XLOOKUP(RiskStatements[[#This Row],[Vulnerability Rating]],VEMatrix[Vulnerability],_xlfn.XLOOKUP(RiskStatements[[#This Row],[Exposure Rating - Present]],VEMatrix[#Headers],VEMatrix[]))</f>
        <v>High</v>
      </c>
      <c r="N72" s="22" t="str" cm="1">
        <f t="array" ref="N72">_xlfn.XLOOKUP(RiskStatements[[#This Row],[Vulnerability Rating]],VEMatrix[Vulnerability],_xlfn.XLOOKUP(RiskStatements[[#This Row],[Exposure Rating - 2050]],VEMatrix[#Headers],VEMatrix[]))</f>
        <v>Extreme</v>
      </c>
      <c r="O72" s="22" t="str" cm="1">
        <f t="array" ref="O72">_xlfn.XLOOKUP(RiskStatements[[#This Row],[Vulnerability Rating]],VEMatrix[Vulnerability],_xlfn.XLOOKUP(RiskStatements[[#This Row],[Exposure Rating - 2100]],VEMatrix[#Headers],VEMatrix[]))</f>
        <v>Extreme</v>
      </c>
      <c r="P72" s="22">
        <f>_xlfn.XLOOKUP(RiskStatements[[#This Row],[Risk Rating - Present]],RatingOrder[Rating Order],RatingOrder[Rating Score],0,0)</f>
        <v>3</v>
      </c>
      <c r="Q72" s="22">
        <f>_xlfn.XLOOKUP(RiskStatements[[#This Row],[Risk Rating - 2050]],RatingOrder[Rating Order],RatingOrder[Rating Score],0,0)</f>
        <v>4</v>
      </c>
      <c r="R72" s="22">
        <f>_xlfn.XLOOKUP(RiskStatements[[#This Row],[Risk Rating - 2100]],RatingOrder[Rating Order],RatingOrder[Rating Score],0,0)</f>
        <v>4</v>
      </c>
      <c r="S7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73" spans="1:19" hidden="1" x14ac:dyDescent="0.35">
      <c r="A73" s="22" t="s">
        <v>111</v>
      </c>
      <c r="B73" s="22" t="s">
        <v>119</v>
      </c>
      <c r="C73" s="22" t="s">
        <v>424</v>
      </c>
      <c r="D73" s="22" t="str">
        <f>"V - " &amp;RiskStatements[[#This Row],[Climate Variables/Explainers]]</f>
        <v>V - Extreme Temperature</v>
      </c>
      <c r="E73" s="22" t="str">
        <f>"EP - " &amp;RiskStatements[[#This Row],[Climate Variables/Explainers]]</f>
        <v>EP - Extreme Temperature</v>
      </c>
      <c r="F73" s="22" t="str">
        <f>"E2050 - " &amp;RiskStatements[[#This Row],[Climate Variables/Explainers]]</f>
        <v>E2050 - Extreme Temperature</v>
      </c>
      <c r="G73" s="22" t="str">
        <f>"E2100 - " &amp;RiskStatements[[#This Row],[Climate Variables/Explainers]]</f>
        <v>E2100 - Extreme Temperature</v>
      </c>
      <c r="H73" s="22" t="str" cm="1">
        <f t="array" ref="H73">_xlfn.XLOOKUP(RiskStatements[[#This Row],[Elements at Risk]],Final_VEValues[Elements at Risk],_xlfn.XLOOKUP(RiskStatements[[#This Row],[Vulnerability Header]],Final_VEValues[#Headers],Final_VEValues[]))</f>
        <v>H</v>
      </c>
      <c r="I73" s="22" t="str" cm="1">
        <f t="array" ref="I73">_xlfn.XLOOKUP(RiskStatements[[#This Row],[Elements at Risk]],Final_VEValues[Elements at Risk],_xlfn.XLOOKUP(RiskStatements[[#This Row],[Exposure Present Header]],Final_VEValues[#Headers],Final_VEValues[]))</f>
        <v>H</v>
      </c>
      <c r="J73" s="22" t="str" cm="1">
        <f t="array" ref="J73">_xlfn.XLOOKUP(RiskStatements[[#This Row],[Elements at Risk]],Final_VEValues[Elements at Risk],_xlfn.XLOOKUP(RiskStatements[[#This Row],[Exposure 2050 Header]],Final_VEValues[#Headers],Final_VEValues[]))</f>
        <v>E</v>
      </c>
      <c r="K73" s="22" t="str" cm="1">
        <f t="array" ref="K73">_xlfn.XLOOKUP(RiskStatements[[#This Row],[Elements at Risk]],Final_VEValues[Elements at Risk],_xlfn.XLOOKUP(RiskStatements[[#This Row],[Exposure 2100 Header]],Final_VEValues[#Headers],Final_VEValues[]))</f>
        <v>E</v>
      </c>
      <c r="L73" s="22" t="str">
        <f>_xlfn.CONCAT(RiskStatements[[#This Row],[Climate Variables/Explainers]]," risk to ",RiskStatements[[#This Row],[Elements at Risk]])</f>
        <v>Extreme Temperature risk to Freshwater Ecosystems</v>
      </c>
      <c r="M73" s="22" t="str" cm="1">
        <f t="array" ref="M73">_xlfn.XLOOKUP(RiskStatements[[#This Row],[Vulnerability Rating]],VEMatrix[Vulnerability],_xlfn.XLOOKUP(RiskStatements[[#This Row],[Exposure Rating - Present]],VEMatrix[#Headers],VEMatrix[]))</f>
        <v>High</v>
      </c>
      <c r="N73" s="22" t="str" cm="1">
        <f t="array" ref="N73">_xlfn.XLOOKUP(RiskStatements[[#This Row],[Vulnerability Rating]],VEMatrix[Vulnerability],_xlfn.XLOOKUP(RiskStatements[[#This Row],[Exposure Rating - 2050]],VEMatrix[#Headers],VEMatrix[]))</f>
        <v>Extreme</v>
      </c>
      <c r="O73" s="22" t="str" cm="1">
        <f t="array" ref="O73">_xlfn.XLOOKUP(RiskStatements[[#This Row],[Vulnerability Rating]],VEMatrix[Vulnerability],_xlfn.XLOOKUP(RiskStatements[[#This Row],[Exposure Rating - 2100]],VEMatrix[#Headers],VEMatrix[]))</f>
        <v>Extreme</v>
      </c>
      <c r="P73" s="22">
        <f>_xlfn.XLOOKUP(RiskStatements[[#This Row],[Risk Rating - Present]],RatingOrder[Rating Order],RatingOrder[Rating Score],0,0)</f>
        <v>3</v>
      </c>
      <c r="Q73" s="22">
        <f>_xlfn.XLOOKUP(RiskStatements[[#This Row],[Risk Rating - 2050]],RatingOrder[Rating Order],RatingOrder[Rating Score],0,0)</f>
        <v>4</v>
      </c>
      <c r="R73" s="22">
        <f>_xlfn.XLOOKUP(RiskStatements[[#This Row],[Risk Rating - 2100]],RatingOrder[Rating Order],RatingOrder[Rating Score],0,0)</f>
        <v>4</v>
      </c>
      <c r="S7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74" spans="1:19" hidden="1" x14ac:dyDescent="0.35">
      <c r="A74" s="22" t="s">
        <v>120</v>
      </c>
      <c r="B74" s="22" t="s">
        <v>210</v>
      </c>
      <c r="C74" s="22" t="s">
        <v>424</v>
      </c>
      <c r="D74" s="22" t="str">
        <f>"V - " &amp;RiskStatements[[#This Row],[Climate Variables/Explainers]]</f>
        <v>V - Extreme Temperature</v>
      </c>
      <c r="E74" s="22" t="str">
        <f>"EP - " &amp;RiskStatements[[#This Row],[Climate Variables/Explainers]]</f>
        <v>EP - Extreme Temperature</v>
      </c>
      <c r="F74" s="22" t="str">
        <f>"E2050 - " &amp;RiskStatements[[#This Row],[Climate Variables/Explainers]]</f>
        <v>E2050 - Extreme Temperature</v>
      </c>
      <c r="G74" s="22" t="str">
        <f>"E2100 - " &amp;RiskStatements[[#This Row],[Climate Variables/Explainers]]</f>
        <v>E2100 - Extreme Temperature</v>
      </c>
      <c r="H74" s="22" t="str" cm="1">
        <f t="array" ref="H74">_xlfn.XLOOKUP(RiskStatements[[#This Row],[Elements at Risk]],Final_VEValues[Elements at Risk],_xlfn.XLOOKUP(RiskStatements[[#This Row],[Vulnerability Header]],Final_VEValues[#Headers],Final_VEValues[]))</f>
        <v>M</v>
      </c>
      <c r="I74" s="22" t="str" cm="1">
        <f t="array" ref="I74">_xlfn.XLOOKUP(RiskStatements[[#This Row],[Elements at Risk]],Final_VEValues[Elements at Risk],_xlfn.XLOOKUP(RiskStatements[[#This Row],[Exposure Present Header]],Final_VEValues[#Headers],Final_VEValues[]))</f>
        <v>M</v>
      </c>
      <c r="J74" s="22" t="str" cm="1">
        <f t="array" ref="J74">_xlfn.XLOOKUP(RiskStatements[[#This Row],[Elements at Risk]],Final_VEValues[Elements at Risk],_xlfn.XLOOKUP(RiskStatements[[#This Row],[Exposure 2050 Header]],Final_VEValues[#Headers],Final_VEValues[]))</f>
        <v>H</v>
      </c>
      <c r="K74" s="22" t="str" cm="1">
        <f t="array" ref="K74">_xlfn.XLOOKUP(RiskStatements[[#This Row],[Elements at Risk]],Final_VEValues[Elements at Risk],_xlfn.XLOOKUP(RiskStatements[[#This Row],[Exposure 2100 Header]],Final_VEValues[#Headers],Final_VEValues[]))</f>
        <v>E</v>
      </c>
      <c r="L74" s="22" t="str">
        <f>_xlfn.CONCAT(RiskStatements[[#This Row],[Climate Variables/Explainers]]," risk to ",RiskStatements[[#This Row],[Elements at Risk]])</f>
        <v>Extreme Temperature risk to Inhabited Buildings</v>
      </c>
      <c r="M74" s="22" t="str" cm="1">
        <f t="array" ref="M74">_xlfn.XLOOKUP(RiskStatements[[#This Row],[Vulnerability Rating]],VEMatrix[Vulnerability],_xlfn.XLOOKUP(RiskStatements[[#This Row],[Exposure Rating - Present]],VEMatrix[#Headers],VEMatrix[]))</f>
        <v>Moderate</v>
      </c>
      <c r="N74" s="22" t="str" cm="1">
        <f t="array" ref="N74">_xlfn.XLOOKUP(RiskStatements[[#This Row],[Vulnerability Rating]],VEMatrix[Vulnerability],_xlfn.XLOOKUP(RiskStatements[[#This Row],[Exposure Rating - 2050]],VEMatrix[#Headers],VEMatrix[]))</f>
        <v>Moderate</v>
      </c>
      <c r="O74" s="22" t="str" cm="1">
        <f t="array" ref="O74">_xlfn.XLOOKUP(RiskStatements[[#This Row],[Vulnerability Rating]],VEMatrix[Vulnerability],_xlfn.XLOOKUP(RiskStatements[[#This Row],[Exposure Rating - 2100]],VEMatrix[#Headers],VEMatrix[]))</f>
        <v>High</v>
      </c>
      <c r="P74" s="22">
        <f>_xlfn.XLOOKUP(RiskStatements[[#This Row],[Risk Rating - Present]],RatingOrder[Rating Order],RatingOrder[Rating Score],0,0)</f>
        <v>2</v>
      </c>
      <c r="Q74" s="22">
        <f>_xlfn.XLOOKUP(RiskStatements[[#This Row],[Risk Rating - 2050]],RatingOrder[Rating Order],RatingOrder[Rating Score],0,0)</f>
        <v>2</v>
      </c>
      <c r="R74" s="22">
        <f>_xlfn.XLOOKUP(RiskStatements[[#This Row],[Risk Rating - 2100]],RatingOrder[Rating Order],RatingOrder[Rating Score],0,0)</f>
        <v>3</v>
      </c>
      <c r="S7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75" spans="1:19" hidden="1" x14ac:dyDescent="0.35">
      <c r="A75" s="22" t="s">
        <v>120</v>
      </c>
      <c r="B75" s="22" t="s">
        <v>218</v>
      </c>
      <c r="C75" s="22" t="s">
        <v>424</v>
      </c>
      <c r="D75" s="22" t="str">
        <f>"V - " &amp;RiskStatements[[#This Row],[Climate Variables/Explainers]]</f>
        <v>V - Extreme Temperature</v>
      </c>
      <c r="E75" s="22" t="str">
        <f>"EP - " &amp;RiskStatements[[#This Row],[Climate Variables/Explainers]]</f>
        <v>EP - Extreme Temperature</v>
      </c>
      <c r="F75" s="22" t="str">
        <f>"E2050 - " &amp;RiskStatements[[#This Row],[Climate Variables/Explainers]]</f>
        <v>E2050 - Extreme Temperature</v>
      </c>
      <c r="G75" s="22" t="str">
        <f>"E2100 - " &amp;RiskStatements[[#This Row],[Climate Variables/Explainers]]</f>
        <v>E2100 - Extreme Temperature</v>
      </c>
      <c r="H75" s="22" t="str" cm="1">
        <f t="array" ref="H75">_xlfn.XLOOKUP(RiskStatements[[#This Row],[Elements at Risk]],Final_VEValues[Elements at Risk],_xlfn.XLOOKUP(RiskStatements[[#This Row],[Vulnerability Header]],Final_VEValues[#Headers],Final_VEValues[]))</f>
        <v>L</v>
      </c>
      <c r="I75" s="22" t="str" cm="1">
        <f t="array" ref="I75">_xlfn.XLOOKUP(RiskStatements[[#This Row],[Elements at Risk]],Final_VEValues[Elements at Risk],_xlfn.XLOOKUP(RiskStatements[[#This Row],[Exposure Present Header]],Final_VEValues[#Headers],Final_VEValues[]))</f>
        <v>M</v>
      </c>
      <c r="J75" s="22" t="str" cm="1">
        <f t="array" ref="J75">_xlfn.XLOOKUP(RiskStatements[[#This Row],[Elements at Risk]],Final_VEValues[Elements at Risk],_xlfn.XLOOKUP(RiskStatements[[#This Row],[Exposure 2050 Header]],Final_VEValues[#Headers],Final_VEValues[]))</f>
        <v>H</v>
      </c>
      <c r="K75" s="22" t="str" cm="1">
        <f t="array" ref="K75">_xlfn.XLOOKUP(RiskStatements[[#This Row],[Elements at Risk]],Final_VEValues[Elements at Risk],_xlfn.XLOOKUP(RiskStatements[[#This Row],[Exposure 2100 Header]],Final_VEValues[#Headers],Final_VEValues[]))</f>
        <v>H</v>
      </c>
      <c r="L75" s="22" t="str">
        <f>_xlfn.CONCAT(RiskStatements[[#This Row],[Climate Variables/Explainers]]," risk to ",RiskStatements[[#This Row],[Elements at Risk]])</f>
        <v>Extreme Temperature risk to Ports / Wharves</v>
      </c>
      <c r="M75" s="22" t="str" cm="1">
        <f t="array" ref="M75">_xlfn.XLOOKUP(RiskStatements[[#This Row],[Vulnerability Rating]],VEMatrix[Vulnerability],_xlfn.XLOOKUP(RiskStatements[[#This Row],[Exposure Rating - Present]],VEMatrix[#Headers],VEMatrix[]))</f>
        <v>Low</v>
      </c>
      <c r="N75" s="22" t="str" cm="1">
        <f t="array" ref="N75">_xlfn.XLOOKUP(RiskStatements[[#This Row],[Vulnerability Rating]],VEMatrix[Vulnerability],_xlfn.XLOOKUP(RiskStatements[[#This Row],[Exposure Rating - 2050]],VEMatrix[#Headers],VEMatrix[]))</f>
        <v>Moderate</v>
      </c>
      <c r="O75" s="22" t="str" cm="1">
        <f t="array" ref="O75">_xlfn.XLOOKUP(RiskStatements[[#This Row],[Vulnerability Rating]],VEMatrix[Vulnerability],_xlfn.XLOOKUP(RiskStatements[[#This Row],[Exposure Rating - 2100]],VEMatrix[#Headers],VEMatrix[]))</f>
        <v>Moderate</v>
      </c>
      <c r="P75" s="22">
        <f>_xlfn.XLOOKUP(RiskStatements[[#This Row],[Risk Rating - Present]],RatingOrder[Rating Order],RatingOrder[Rating Score],0,0)</f>
        <v>1</v>
      </c>
      <c r="Q75" s="22">
        <f>_xlfn.XLOOKUP(RiskStatements[[#This Row],[Risk Rating - 2050]],RatingOrder[Rating Order],RatingOrder[Rating Score],0,0)</f>
        <v>2</v>
      </c>
      <c r="R75" s="22">
        <f>_xlfn.XLOOKUP(RiskStatements[[#This Row],[Risk Rating - 2100]],RatingOrder[Rating Order],RatingOrder[Rating Score],0,0)</f>
        <v>2</v>
      </c>
      <c r="S7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76" spans="1:19" hidden="1" x14ac:dyDescent="0.35">
      <c r="A76" s="22" t="s">
        <v>120</v>
      </c>
      <c r="B76" s="22" t="s">
        <v>220</v>
      </c>
      <c r="C76" s="22" t="s">
        <v>424</v>
      </c>
      <c r="D76" s="22" t="str">
        <f>"V - " &amp;RiskStatements[[#This Row],[Climate Variables/Explainers]]</f>
        <v>V - Extreme Temperature</v>
      </c>
      <c r="E76" s="22" t="str">
        <f>"EP - " &amp;RiskStatements[[#This Row],[Climate Variables/Explainers]]</f>
        <v>EP - Extreme Temperature</v>
      </c>
      <c r="F76" s="22" t="str">
        <f>"E2050 - " &amp;RiskStatements[[#This Row],[Climate Variables/Explainers]]</f>
        <v>E2050 - Extreme Temperature</v>
      </c>
      <c r="G76" s="22" t="str">
        <f>"E2100 - " &amp;RiskStatements[[#This Row],[Climate Variables/Explainers]]</f>
        <v>E2100 - Extreme Temperature</v>
      </c>
      <c r="H76" s="22" t="str" cm="1">
        <f t="array" ref="H76">_xlfn.XLOOKUP(RiskStatements[[#This Row],[Elements at Risk]],Final_VEValues[Elements at Risk],_xlfn.XLOOKUP(RiskStatements[[#This Row],[Vulnerability Header]],Final_VEValues[#Headers],Final_VEValues[]))</f>
        <v>L</v>
      </c>
      <c r="I76" s="22" t="str" cm="1">
        <f t="array" ref="I76">_xlfn.XLOOKUP(RiskStatements[[#This Row],[Elements at Risk]],Final_VEValues[Elements at Risk],_xlfn.XLOOKUP(RiskStatements[[#This Row],[Exposure Present Header]],Final_VEValues[#Headers],Final_VEValues[]))</f>
        <v>M</v>
      </c>
      <c r="J76" s="22" t="str" cm="1">
        <f t="array" ref="J76">_xlfn.XLOOKUP(RiskStatements[[#This Row],[Elements at Risk]],Final_VEValues[Elements at Risk],_xlfn.XLOOKUP(RiskStatements[[#This Row],[Exposure 2050 Header]],Final_VEValues[#Headers],Final_VEValues[]))</f>
        <v>H</v>
      </c>
      <c r="K76" s="22" t="str" cm="1">
        <f t="array" ref="K76">_xlfn.XLOOKUP(RiskStatements[[#This Row],[Elements at Risk]],Final_VEValues[Elements at Risk],_xlfn.XLOOKUP(RiskStatements[[#This Row],[Exposure 2100 Header]],Final_VEValues[#Headers],Final_VEValues[]))</f>
        <v>H</v>
      </c>
      <c r="L76" s="22" t="str">
        <f>_xlfn.CONCAT(RiskStatements[[#This Row],[Climate Variables/Explainers]]," risk to ",RiskStatements[[#This Row],[Elements at Risk]])</f>
        <v>Extreme Temperature risk to Airports / Airfields</v>
      </c>
      <c r="M76" s="22" t="str" cm="1">
        <f t="array" ref="M76">_xlfn.XLOOKUP(RiskStatements[[#This Row],[Vulnerability Rating]],VEMatrix[Vulnerability],_xlfn.XLOOKUP(RiskStatements[[#This Row],[Exposure Rating - Present]],VEMatrix[#Headers],VEMatrix[]))</f>
        <v>Low</v>
      </c>
      <c r="N76" s="22" t="str" cm="1">
        <f t="array" ref="N76">_xlfn.XLOOKUP(RiskStatements[[#This Row],[Vulnerability Rating]],VEMatrix[Vulnerability],_xlfn.XLOOKUP(RiskStatements[[#This Row],[Exposure Rating - 2050]],VEMatrix[#Headers],VEMatrix[]))</f>
        <v>Moderate</v>
      </c>
      <c r="O76" s="22" t="str" cm="1">
        <f t="array" ref="O76">_xlfn.XLOOKUP(RiskStatements[[#This Row],[Vulnerability Rating]],VEMatrix[Vulnerability],_xlfn.XLOOKUP(RiskStatements[[#This Row],[Exposure Rating - 2100]],VEMatrix[#Headers],VEMatrix[]))</f>
        <v>Moderate</v>
      </c>
      <c r="P76" s="22">
        <f>_xlfn.XLOOKUP(RiskStatements[[#This Row],[Risk Rating - Present]],RatingOrder[Rating Order],RatingOrder[Rating Score],0,0)</f>
        <v>1</v>
      </c>
      <c r="Q76" s="22">
        <f>_xlfn.XLOOKUP(RiskStatements[[#This Row],[Risk Rating - 2050]],RatingOrder[Rating Order],RatingOrder[Rating Score],0,0)</f>
        <v>2</v>
      </c>
      <c r="R76" s="22">
        <f>_xlfn.XLOOKUP(RiskStatements[[#This Row],[Risk Rating - 2100]],RatingOrder[Rating Order],RatingOrder[Rating Score],0,0)</f>
        <v>2</v>
      </c>
      <c r="S7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77" spans="1:19" hidden="1" x14ac:dyDescent="0.35">
      <c r="A77" s="22" t="s">
        <v>120</v>
      </c>
      <c r="B77" s="22" t="s">
        <v>67</v>
      </c>
      <c r="C77" s="22" t="s">
        <v>424</v>
      </c>
      <c r="D77" s="22" t="str">
        <f>"V - " &amp;RiskStatements[[#This Row],[Climate Variables/Explainers]]</f>
        <v>V - Extreme Temperature</v>
      </c>
      <c r="E77" s="22" t="str">
        <f>"EP - " &amp;RiskStatements[[#This Row],[Climate Variables/Explainers]]</f>
        <v>EP - Extreme Temperature</v>
      </c>
      <c r="F77" s="22" t="str">
        <f>"E2050 - " &amp;RiskStatements[[#This Row],[Climate Variables/Explainers]]</f>
        <v>E2050 - Extreme Temperature</v>
      </c>
      <c r="G77" s="22" t="str">
        <f>"E2100 - " &amp;RiskStatements[[#This Row],[Climate Variables/Explainers]]</f>
        <v>E2100 - Extreme Temperature</v>
      </c>
      <c r="H77" s="22" t="str" cm="1">
        <f t="array" ref="H77">_xlfn.XLOOKUP(RiskStatements[[#This Row],[Elements at Risk]],Final_VEValues[Elements at Risk],_xlfn.XLOOKUP(RiskStatements[[#This Row],[Vulnerability Header]],Final_VEValues[#Headers],Final_VEValues[]))</f>
        <v>L</v>
      </c>
      <c r="I77" s="22" t="str" cm="1">
        <f t="array" ref="I77">_xlfn.XLOOKUP(RiskStatements[[#This Row],[Elements at Risk]],Final_VEValues[Elements at Risk],_xlfn.XLOOKUP(RiskStatements[[#This Row],[Exposure Present Header]],Final_VEValues[#Headers],Final_VEValues[]))</f>
        <v>L</v>
      </c>
      <c r="J77" s="22" t="str" cm="1">
        <f t="array" ref="J77">_xlfn.XLOOKUP(RiskStatements[[#This Row],[Elements at Risk]],Final_VEValues[Elements at Risk],_xlfn.XLOOKUP(RiskStatements[[#This Row],[Exposure 2050 Header]],Final_VEValues[#Headers],Final_VEValues[]))</f>
        <v>L</v>
      </c>
      <c r="K77" s="22" t="str" cm="1">
        <f t="array" ref="K77">_xlfn.XLOOKUP(RiskStatements[[#This Row],[Elements at Risk]],Final_VEValues[Elements at Risk],_xlfn.XLOOKUP(RiskStatements[[#This Row],[Exposure 2100 Header]],Final_VEValues[#Headers],Final_VEValues[]))</f>
        <v>H</v>
      </c>
      <c r="L77" s="22" t="str">
        <f>_xlfn.CONCAT(RiskStatements[[#This Row],[Climate Variables/Explainers]]," risk to ",RiskStatements[[#This Row],[Elements at Risk]])</f>
        <v>Extreme Temperature risk to Telecommunications</v>
      </c>
      <c r="M77" s="22" t="str" cm="1">
        <f t="array" ref="M77">_xlfn.XLOOKUP(RiskStatements[[#This Row],[Vulnerability Rating]],VEMatrix[Vulnerability],_xlfn.XLOOKUP(RiskStatements[[#This Row],[Exposure Rating - Present]],VEMatrix[#Headers],VEMatrix[]))</f>
        <v>Low</v>
      </c>
      <c r="N77" s="22" t="str" cm="1">
        <f t="array" ref="N77">_xlfn.XLOOKUP(RiskStatements[[#This Row],[Vulnerability Rating]],VEMatrix[Vulnerability],_xlfn.XLOOKUP(RiskStatements[[#This Row],[Exposure Rating - 2050]],VEMatrix[#Headers],VEMatrix[]))</f>
        <v>Low</v>
      </c>
      <c r="O77" s="22" t="str" cm="1">
        <f t="array" ref="O77">_xlfn.XLOOKUP(RiskStatements[[#This Row],[Vulnerability Rating]],VEMatrix[Vulnerability],_xlfn.XLOOKUP(RiskStatements[[#This Row],[Exposure Rating - 2100]],VEMatrix[#Headers],VEMatrix[]))</f>
        <v>Moderate</v>
      </c>
      <c r="P77" s="22">
        <f>_xlfn.XLOOKUP(RiskStatements[[#This Row],[Risk Rating - Present]],RatingOrder[Rating Order],RatingOrder[Rating Score],0,0)</f>
        <v>1</v>
      </c>
      <c r="Q77" s="22">
        <f>_xlfn.XLOOKUP(RiskStatements[[#This Row],[Risk Rating - 2050]],RatingOrder[Rating Order],RatingOrder[Rating Score],0,0)</f>
        <v>1</v>
      </c>
      <c r="R77" s="22">
        <f>_xlfn.XLOOKUP(RiskStatements[[#This Row],[Risk Rating - 2100]],RatingOrder[Rating Order],RatingOrder[Rating Score],0,0)</f>
        <v>2</v>
      </c>
      <c r="S7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78" spans="1:19" hidden="1" x14ac:dyDescent="0.35">
      <c r="A78" s="22" t="s">
        <v>120</v>
      </c>
      <c r="B78" s="22" t="s">
        <v>121</v>
      </c>
      <c r="C78" s="22" t="s">
        <v>424</v>
      </c>
      <c r="D78" s="22" t="str">
        <f>"V - " &amp;RiskStatements[[#This Row],[Climate Variables/Explainers]]</f>
        <v>V - Extreme Temperature</v>
      </c>
      <c r="E78" s="22" t="str">
        <f>"EP - " &amp;RiskStatements[[#This Row],[Climate Variables/Explainers]]</f>
        <v>EP - Extreme Temperature</v>
      </c>
      <c r="F78" s="22" t="str">
        <f>"E2050 - " &amp;RiskStatements[[#This Row],[Climate Variables/Explainers]]</f>
        <v>E2050 - Extreme Temperature</v>
      </c>
      <c r="G78" s="22" t="str">
        <f>"E2100 - " &amp;RiskStatements[[#This Row],[Climate Variables/Explainers]]</f>
        <v>E2100 - Extreme Temperature</v>
      </c>
      <c r="H78" s="22" t="str" cm="1">
        <f t="array" ref="H78">_xlfn.XLOOKUP(RiskStatements[[#This Row],[Elements at Risk]],Final_VEValues[Elements at Risk],_xlfn.XLOOKUP(RiskStatements[[#This Row],[Vulnerability Header]],Final_VEValues[#Headers],Final_VEValues[]))</f>
        <v>L</v>
      </c>
      <c r="I78" s="22" t="str" cm="1">
        <f t="array" ref="I78">_xlfn.XLOOKUP(RiskStatements[[#This Row],[Elements at Risk]],Final_VEValues[Elements at Risk],_xlfn.XLOOKUP(RiskStatements[[#This Row],[Exposure Present Header]],Final_VEValues[#Headers],Final_VEValues[]))</f>
        <v>M</v>
      </c>
      <c r="J78" s="22" t="str" cm="1">
        <f t="array" ref="J78">_xlfn.XLOOKUP(RiskStatements[[#This Row],[Elements at Risk]],Final_VEValues[Elements at Risk],_xlfn.XLOOKUP(RiskStatements[[#This Row],[Exposure 2050 Header]],Final_VEValues[#Headers],Final_VEValues[]))</f>
        <v>H</v>
      </c>
      <c r="K78" s="22" t="str" cm="1">
        <f t="array" ref="K78">_xlfn.XLOOKUP(RiskStatements[[#This Row],[Elements at Risk]],Final_VEValues[Elements at Risk],_xlfn.XLOOKUP(RiskStatements[[#This Row],[Exposure 2100 Header]],Final_VEValues[#Headers],Final_VEValues[]))</f>
        <v>H</v>
      </c>
      <c r="L78" s="22" t="str">
        <f>_xlfn.CONCAT(RiskStatements[[#This Row],[Climate Variables/Explainers]]," risk to ",RiskStatements[[#This Row],[Elements at Risk]])</f>
        <v>Extreme Temperature risk to Electricity</v>
      </c>
      <c r="M78" s="22" t="str" cm="1">
        <f t="array" ref="M78">_xlfn.XLOOKUP(RiskStatements[[#This Row],[Vulnerability Rating]],VEMatrix[Vulnerability],_xlfn.XLOOKUP(RiskStatements[[#This Row],[Exposure Rating - Present]],VEMatrix[#Headers],VEMatrix[]))</f>
        <v>Low</v>
      </c>
      <c r="N78" s="22" t="str" cm="1">
        <f t="array" ref="N78">_xlfn.XLOOKUP(RiskStatements[[#This Row],[Vulnerability Rating]],VEMatrix[Vulnerability],_xlfn.XLOOKUP(RiskStatements[[#This Row],[Exposure Rating - 2050]],VEMatrix[#Headers],VEMatrix[]))</f>
        <v>Moderate</v>
      </c>
      <c r="O78" s="22" t="str" cm="1">
        <f t="array" ref="O78">_xlfn.XLOOKUP(RiskStatements[[#This Row],[Vulnerability Rating]],VEMatrix[Vulnerability],_xlfn.XLOOKUP(RiskStatements[[#This Row],[Exposure Rating - 2100]],VEMatrix[#Headers],VEMatrix[]))</f>
        <v>Moderate</v>
      </c>
      <c r="P78" s="22">
        <f>_xlfn.XLOOKUP(RiskStatements[[#This Row],[Risk Rating - Present]],RatingOrder[Rating Order],RatingOrder[Rating Score],0,0)</f>
        <v>1</v>
      </c>
      <c r="Q78" s="22">
        <f>_xlfn.XLOOKUP(RiskStatements[[#This Row],[Risk Rating - 2050]],RatingOrder[Rating Order],RatingOrder[Rating Score],0,0)</f>
        <v>2</v>
      </c>
      <c r="R78" s="22">
        <f>_xlfn.XLOOKUP(RiskStatements[[#This Row],[Risk Rating - 2100]],RatingOrder[Rating Order],RatingOrder[Rating Score],0,0)</f>
        <v>2</v>
      </c>
      <c r="S7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79" spans="1:19" hidden="1" x14ac:dyDescent="0.35">
      <c r="A79" s="22" t="s">
        <v>120</v>
      </c>
      <c r="B79" s="22" t="s">
        <v>70</v>
      </c>
      <c r="C79" s="22" t="s">
        <v>424</v>
      </c>
      <c r="D79" s="22" t="str">
        <f>"V - " &amp;RiskStatements[[#This Row],[Climate Variables/Explainers]]</f>
        <v>V - Extreme Temperature</v>
      </c>
      <c r="E79" s="22" t="str">
        <f>"EP - " &amp;RiskStatements[[#This Row],[Climate Variables/Explainers]]</f>
        <v>EP - Extreme Temperature</v>
      </c>
      <c r="F79" s="22" t="str">
        <f>"E2050 - " &amp;RiskStatements[[#This Row],[Climate Variables/Explainers]]</f>
        <v>E2050 - Extreme Temperature</v>
      </c>
      <c r="G79" s="22" t="str">
        <f>"E2100 - " &amp;RiskStatements[[#This Row],[Climate Variables/Explainers]]</f>
        <v>E2100 - Extreme Temperature</v>
      </c>
      <c r="H79" s="22" t="str" cm="1">
        <f t="array" ref="H79">_xlfn.XLOOKUP(RiskStatements[[#This Row],[Elements at Risk]],Final_VEValues[Elements at Risk],_xlfn.XLOOKUP(RiskStatements[[#This Row],[Vulnerability Header]],Final_VEValues[#Headers],Final_VEValues[]))</f>
        <v>L</v>
      </c>
      <c r="I79" s="22" t="str" cm="1">
        <f t="array" ref="I79">_xlfn.XLOOKUP(RiskStatements[[#This Row],[Elements at Risk]],Final_VEValues[Elements at Risk],_xlfn.XLOOKUP(RiskStatements[[#This Row],[Exposure Present Header]],Final_VEValues[#Headers],Final_VEValues[]))</f>
        <v>M</v>
      </c>
      <c r="J79" s="22" t="str" cm="1">
        <f t="array" ref="J79">_xlfn.XLOOKUP(RiskStatements[[#This Row],[Elements at Risk]],Final_VEValues[Elements at Risk],_xlfn.XLOOKUP(RiskStatements[[#This Row],[Exposure 2050 Header]],Final_VEValues[#Headers],Final_VEValues[]))</f>
        <v>H</v>
      </c>
      <c r="K79" s="22" t="str" cm="1">
        <f t="array" ref="K79">_xlfn.XLOOKUP(RiskStatements[[#This Row],[Elements at Risk]],Final_VEValues[Elements at Risk],_xlfn.XLOOKUP(RiskStatements[[#This Row],[Exposure 2100 Header]],Final_VEValues[#Headers],Final_VEValues[]))</f>
        <v>H</v>
      </c>
      <c r="L79" s="22" t="str">
        <f>_xlfn.CONCAT(RiskStatements[[#This Row],[Climate Variables/Explainers]]," risk to ",RiskStatements[[#This Row],[Elements at Risk]])</f>
        <v>Extreme Temperature risk to Wastewater Infrastructure</v>
      </c>
      <c r="M79" s="22" t="str" cm="1">
        <f t="array" ref="M79">_xlfn.XLOOKUP(RiskStatements[[#This Row],[Vulnerability Rating]],VEMatrix[Vulnerability],_xlfn.XLOOKUP(RiskStatements[[#This Row],[Exposure Rating - Present]],VEMatrix[#Headers],VEMatrix[]))</f>
        <v>Low</v>
      </c>
      <c r="N79" s="22" t="str" cm="1">
        <f t="array" ref="N79">_xlfn.XLOOKUP(RiskStatements[[#This Row],[Vulnerability Rating]],VEMatrix[Vulnerability],_xlfn.XLOOKUP(RiskStatements[[#This Row],[Exposure Rating - 2050]],VEMatrix[#Headers],VEMatrix[]))</f>
        <v>Moderate</v>
      </c>
      <c r="O79" s="22" t="str" cm="1">
        <f t="array" ref="O79">_xlfn.XLOOKUP(RiskStatements[[#This Row],[Vulnerability Rating]],VEMatrix[Vulnerability],_xlfn.XLOOKUP(RiskStatements[[#This Row],[Exposure Rating - 2100]],VEMatrix[#Headers],VEMatrix[]))</f>
        <v>Moderate</v>
      </c>
      <c r="P79" s="22">
        <f>_xlfn.XLOOKUP(RiskStatements[[#This Row],[Risk Rating - Present]],RatingOrder[Rating Order],RatingOrder[Rating Score],0,0)</f>
        <v>1</v>
      </c>
      <c r="Q79" s="22">
        <f>_xlfn.XLOOKUP(RiskStatements[[#This Row],[Risk Rating - 2050]],RatingOrder[Rating Order],RatingOrder[Rating Score],0,0)</f>
        <v>2</v>
      </c>
      <c r="R79" s="22">
        <f>_xlfn.XLOOKUP(RiskStatements[[#This Row],[Risk Rating - 2100]],RatingOrder[Rating Order],RatingOrder[Rating Score],0,0)</f>
        <v>2</v>
      </c>
      <c r="S7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80" spans="1:19" hidden="1" x14ac:dyDescent="0.35">
      <c r="A80" s="22" t="s">
        <v>120</v>
      </c>
      <c r="B80" s="22" t="s">
        <v>223</v>
      </c>
      <c r="C80" s="22" t="s">
        <v>424</v>
      </c>
      <c r="D80" s="22" t="str">
        <f>"V - " &amp;RiskStatements[[#This Row],[Climate Variables/Explainers]]</f>
        <v>V - Extreme Temperature</v>
      </c>
      <c r="E80" s="22" t="str">
        <f>"EP - " &amp;RiskStatements[[#This Row],[Climate Variables/Explainers]]</f>
        <v>EP - Extreme Temperature</v>
      </c>
      <c r="F80" s="22" t="str">
        <f>"E2050 - " &amp;RiskStatements[[#This Row],[Climate Variables/Explainers]]</f>
        <v>E2050 - Extreme Temperature</v>
      </c>
      <c r="G80" s="22" t="str">
        <f>"E2100 - " &amp;RiskStatements[[#This Row],[Climate Variables/Explainers]]</f>
        <v>E2100 - Extreme Temperature</v>
      </c>
      <c r="H80" s="22" t="str" cm="1">
        <f t="array" ref="H80">_xlfn.XLOOKUP(RiskStatements[[#This Row],[Elements at Risk]],Final_VEValues[Elements at Risk],_xlfn.XLOOKUP(RiskStatements[[#This Row],[Vulnerability Header]],Final_VEValues[#Headers],Final_VEValues[]))</f>
        <v>M</v>
      </c>
      <c r="I80" s="22" t="str" cm="1">
        <f t="array" ref="I80">_xlfn.XLOOKUP(RiskStatements[[#This Row],[Elements at Risk]],Final_VEValues[Elements at Risk],_xlfn.XLOOKUP(RiskStatements[[#This Row],[Exposure Present Header]],Final_VEValues[#Headers],Final_VEValues[]))</f>
        <v>M</v>
      </c>
      <c r="J80" s="22" t="str" cm="1">
        <f t="array" ref="J80">_xlfn.XLOOKUP(RiskStatements[[#This Row],[Elements at Risk]],Final_VEValues[Elements at Risk],_xlfn.XLOOKUP(RiskStatements[[#This Row],[Exposure 2050 Header]],Final_VEValues[#Headers],Final_VEValues[]))</f>
        <v>H</v>
      </c>
      <c r="K80" s="22" t="str" cm="1">
        <f t="array" ref="K80">_xlfn.XLOOKUP(RiskStatements[[#This Row],[Elements at Risk]],Final_VEValues[Elements at Risk],_xlfn.XLOOKUP(RiskStatements[[#This Row],[Exposure 2100 Header]],Final_VEValues[#Headers],Final_VEValues[]))</f>
        <v>H</v>
      </c>
      <c r="L80" s="22" t="str">
        <f>_xlfn.CONCAT(RiskStatements[[#This Row],[Climate Variables/Explainers]]," risk to ",RiskStatements[[#This Row],[Elements at Risk]])</f>
        <v>Extreme Temperature risk to Transportation Assets</v>
      </c>
      <c r="M80" s="22" t="str" cm="1">
        <f t="array" ref="M80">_xlfn.XLOOKUP(RiskStatements[[#This Row],[Vulnerability Rating]],VEMatrix[Vulnerability],_xlfn.XLOOKUP(RiskStatements[[#This Row],[Exposure Rating - Present]],VEMatrix[#Headers],VEMatrix[]))</f>
        <v>Moderate</v>
      </c>
      <c r="N80" s="22" t="str" cm="1">
        <f t="array" ref="N80">_xlfn.XLOOKUP(RiskStatements[[#This Row],[Vulnerability Rating]],VEMatrix[Vulnerability],_xlfn.XLOOKUP(RiskStatements[[#This Row],[Exposure Rating - 2050]],VEMatrix[#Headers],VEMatrix[]))</f>
        <v>Moderate</v>
      </c>
      <c r="O80" s="22" t="str" cm="1">
        <f t="array" ref="O80">_xlfn.XLOOKUP(RiskStatements[[#This Row],[Vulnerability Rating]],VEMatrix[Vulnerability],_xlfn.XLOOKUP(RiskStatements[[#This Row],[Exposure Rating - 2100]],VEMatrix[#Headers],VEMatrix[]))</f>
        <v>Moderate</v>
      </c>
      <c r="P80" s="22">
        <f>_xlfn.XLOOKUP(RiskStatements[[#This Row],[Risk Rating - Present]],RatingOrder[Rating Order],RatingOrder[Rating Score],0,0)</f>
        <v>2</v>
      </c>
      <c r="Q80" s="22">
        <f>_xlfn.XLOOKUP(RiskStatements[[#This Row],[Risk Rating - 2050]],RatingOrder[Rating Order],RatingOrder[Rating Score],0,0)</f>
        <v>2</v>
      </c>
      <c r="R80" s="22">
        <f>_xlfn.XLOOKUP(RiskStatements[[#This Row],[Risk Rating - 2100]],RatingOrder[Rating Order],RatingOrder[Rating Score],0,0)</f>
        <v>2</v>
      </c>
      <c r="S8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81" spans="1:19" hidden="1" x14ac:dyDescent="0.35">
      <c r="A81" s="22" t="s">
        <v>120</v>
      </c>
      <c r="B81" s="22" t="s">
        <v>122</v>
      </c>
      <c r="C81" s="22" t="s">
        <v>424</v>
      </c>
      <c r="D81" s="22" t="str">
        <f>"V - " &amp;RiskStatements[[#This Row],[Climate Variables/Explainers]]</f>
        <v>V - Extreme Temperature</v>
      </c>
      <c r="E81" s="22" t="str">
        <f>"EP - " &amp;RiskStatements[[#This Row],[Climate Variables/Explainers]]</f>
        <v>EP - Extreme Temperature</v>
      </c>
      <c r="F81" s="22" t="str">
        <f>"E2050 - " &amp;RiskStatements[[#This Row],[Climate Variables/Explainers]]</f>
        <v>E2050 - Extreme Temperature</v>
      </c>
      <c r="G81" s="22" t="str">
        <f>"E2100 - " &amp;RiskStatements[[#This Row],[Climate Variables/Explainers]]</f>
        <v>E2100 - Extreme Temperature</v>
      </c>
      <c r="H81" s="22" t="str" cm="1">
        <f t="array" ref="H81">_xlfn.XLOOKUP(RiskStatements[[#This Row],[Elements at Risk]],Final_VEValues[Elements at Risk],_xlfn.XLOOKUP(RiskStatements[[#This Row],[Vulnerability Header]],Final_VEValues[#Headers],Final_VEValues[]))</f>
        <v>H</v>
      </c>
      <c r="I81" s="22" t="str" cm="1">
        <f t="array" ref="I81">_xlfn.XLOOKUP(RiskStatements[[#This Row],[Elements at Risk]],Final_VEValues[Elements at Risk],_xlfn.XLOOKUP(RiskStatements[[#This Row],[Exposure Present Header]],Final_VEValues[#Headers],Final_VEValues[]))</f>
        <v>M</v>
      </c>
      <c r="J81" s="22" t="str" cm="1">
        <f t="array" ref="J81">_xlfn.XLOOKUP(RiskStatements[[#This Row],[Elements at Risk]],Final_VEValues[Elements at Risk],_xlfn.XLOOKUP(RiskStatements[[#This Row],[Exposure 2050 Header]],Final_VEValues[#Headers],Final_VEValues[]))</f>
        <v>H</v>
      </c>
      <c r="K81" s="22" t="str" cm="1">
        <f t="array" ref="K81">_xlfn.XLOOKUP(RiskStatements[[#This Row],[Elements at Risk]],Final_VEValues[Elements at Risk],_xlfn.XLOOKUP(RiskStatements[[#This Row],[Exposure 2100 Header]],Final_VEValues[#Headers],Final_VEValues[]))</f>
        <v>E</v>
      </c>
      <c r="L81" s="22" t="str">
        <f>_xlfn.CONCAT(RiskStatements[[#This Row],[Climate Variables/Explainers]]," risk to ",RiskStatements[[#This Row],[Elements at Risk]])</f>
        <v>Extreme Temperature risk to Water Supply</v>
      </c>
      <c r="M81" s="22" t="str" cm="1">
        <f t="array" ref="M81">_xlfn.XLOOKUP(RiskStatements[[#This Row],[Vulnerability Rating]],VEMatrix[Vulnerability],_xlfn.XLOOKUP(RiskStatements[[#This Row],[Exposure Rating - Present]],VEMatrix[#Headers],VEMatrix[]))</f>
        <v>Moderate</v>
      </c>
      <c r="N81" s="22" t="str" cm="1">
        <f t="array" ref="N81">_xlfn.XLOOKUP(RiskStatements[[#This Row],[Vulnerability Rating]],VEMatrix[Vulnerability],_xlfn.XLOOKUP(RiskStatements[[#This Row],[Exposure Rating - 2050]],VEMatrix[#Headers],VEMatrix[]))</f>
        <v>High</v>
      </c>
      <c r="O81" s="22" t="str" cm="1">
        <f t="array" ref="O81">_xlfn.XLOOKUP(RiskStatements[[#This Row],[Vulnerability Rating]],VEMatrix[Vulnerability],_xlfn.XLOOKUP(RiskStatements[[#This Row],[Exposure Rating - 2100]],VEMatrix[#Headers],VEMatrix[]))</f>
        <v>Extreme</v>
      </c>
      <c r="P81" s="22">
        <f>_xlfn.XLOOKUP(RiskStatements[[#This Row],[Risk Rating - Present]],RatingOrder[Rating Order],RatingOrder[Rating Score],0,0)</f>
        <v>2</v>
      </c>
      <c r="Q81" s="22">
        <f>_xlfn.XLOOKUP(RiskStatements[[#This Row],[Risk Rating - 2050]],RatingOrder[Rating Order],RatingOrder[Rating Score],0,0)</f>
        <v>3</v>
      </c>
      <c r="R81" s="22">
        <f>_xlfn.XLOOKUP(RiskStatements[[#This Row],[Risk Rating - 2100]],RatingOrder[Rating Order],RatingOrder[Rating Score],0,0)</f>
        <v>4</v>
      </c>
      <c r="S8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82" spans="1:19" hidden="1" x14ac:dyDescent="0.35">
      <c r="A82" s="22" t="s">
        <v>120</v>
      </c>
      <c r="B82" s="22" t="s">
        <v>224</v>
      </c>
      <c r="C82" s="22" t="s">
        <v>424</v>
      </c>
      <c r="D82" s="22" t="str">
        <f>"V - " &amp;RiskStatements[[#This Row],[Climate Variables/Explainers]]</f>
        <v>V - Extreme Temperature</v>
      </c>
      <c r="E82" s="22" t="str">
        <f>"EP - " &amp;RiskStatements[[#This Row],[Climate Variables/Explainers]]</f>
        <v>EP - Extreme Temperature</v>
      </c>
      <c r="F82" s="22" t="str">
        <f>"E2050 - " &amp;RiskStatements[[#This Row],[Climate Variables/Explainers]]</f>
        <v>E2050 - Extreme Temperature</v>
      </c>
      <c r="G82" s="22" t="str">
        <f>"E2100 - " &amp;RiskStatements[[#This Row],[Climate Variables/Explainers]]</f>
        <v>E2100 - Extreme Temperature</v>
      </c>
      <c r="H82" s="22" t="str" cm="1">
        <f t="array" ref="H82">_xlfn.XLOOKUP(RiskStatements[[#This Row],[Elements at Risk]],Final_VEValues[Elements at Risk],_xlfn.XLOOKUP(RiskStatements[[#This Row],[Vulnerability Header]],Final_VEValues[#Headers],Final_VEValues[]))</f>
        <v>L</v>
      </c>
      <c r="I82" s="22" t="str" cm="1">
        <f t="array" ref="I82">_xlfn.XLOOKUP(RiskStatements[[#This Row],[Elements at Risk]],Final_VEValues[Elements at Risk],_xlfn.XLOOKUP(RiskStatements[[#This Row],[Exposure Present Header]],Final_VEValues[#Headers],Final_VEValues[]))</f>
        <v>L</v>
      </c>
      <c r="J82" s="22" t="str" cm="1">
        <f t="array" ref="J82">_xlfn.XLOOKUP(RiskStatements[[#This Row],[Elements at Risk]],Final_VEValues[Elements at Risk],_xlfn.XLOOKUP(RiskStatements[[#This Row],[Exposure 2050 Header]],Final_VEValues[#Headers],Final_VEValues[]))</f>
        <v>L</v>
      </c>
      <c r="K82" s="22" t="str" cm="1">
        <f t="array" ref="K82">_xlfn.XLOOKUP(RiskStatements[[#This Row],[Elements at Risk]],Final_VEValues[Elements at Risk],_xlfn.XLOOKUP(RiskStatements[[#This Row],[Exposure 2100 Header]],Final_VEValues[#Headers],Final_VEValues[]))</f>
        <v>M</v>
      </c>
      <c r="L82" s="22" t="str">
        <f>_xlfn.CONCAT(RiskStatements[[#This Row],[Climate Variables/Explainers]]," risk to ",RiskStatements[[#This Row],[Elements at Risk]])</f>
        <v>Extreme Temperature risk to Stormwater / Flood Management</v>
      </c>
      <c r="M82" s="22" t="str" cm="1">
        <f t="array" ref="M82">_xlfn.XLOOKUP(RiskStatements[[#This Row],[Vulnerability Rating]],VEMatrix[Vulnerability],_xlfn.XLOOKUP(RiskStatements[[#This Row],[Exposure Rating - Present]],VEMatrix[#Headers],VEMatrix[]))</f>
        <v>Low</v>
      </c>
      <c r="N82" s="22" t="str" cm="1">
        <f t="array" ref="N82">_xlfn.XLOOKUP(RiskStatements[[#This Row],[Vulnerability Rating]],VEMatrix[Vulnerability],_xlfn.XLOOKUP(RiskStatements[[#This Row],[Exposure Rating - 2050]],VEMatrix[#Headers],VEMatrix[]))</f>
        <v>Low</v>
      </c>
      <c r="O82" s="22" t="str" cm="1">
        <f t="array" ref="O82">_xlfn.XLOOKUP(RiskStatements[[#This Row],[Vulnerability Rating]],VEMatrix[Vulnerability],_xlfn.XLOOKUP(RiskStatements[[#This Row],[Exposure Rating - 2100]],VEMatrix[#Headers],VEMatrix[]))</f>
        <v>Low</v>
      </c>
      <c r="P82" s="22">
        <f>_xlfn.XLOOKUP(RiskStatements[[#This Row],[Risk Rating - Present]],RatingOrder[Rating Order],RatingOrder[Rating Score],0,0)</f>
        <v>1</v>
      </c>
      <c r="Q82" s="22">
        <f>_xlfn.XLOOKUP(RiskStatements[[#This Row],[Risk Rating - 2050]],RatingOrder[Rating Order],RatingOrder[Rating Score],0,0)</f>
        <v>1</v>
      </c>
      <c r="R82" s="22">
        <f>_xlfn.XLOOKUP(RiskStatements[[#This Row],[Risk Rating - 2100]],RatingOrder[Rating Order],RatingOrder[Rating Score],0,0)</f>
        <v>1</v>
      </c>
      <c r="S8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83" spans="1:19" hidden="1" x14ac:dyDescent="0.35">
      <c r="A83" s="22" t="s">
        <v>120</v>
      </c>
      <c r="B83" s="22" t="s">
        <v>212</v>
      </c>
      <c r="C83" s="22" t="s">
        <v>424</v>
      </c>
      <c r="D83" s="22" t="str">
        <f>"V - " &amp;RiskStatements[[#This Row],[Climate Variables/Explainers]]</f>
        <v>V - Extreme Temperature</v>
      </c>
      <c r="E83" s="22" t="str">
        <f>"EP - " &amp;RiskStatements[[#This Row],[Climate Variables/Explainers]]</f>
        <v>EP - Extreme Temperature</v>
      </c>
      <c r="F83" s="22" t="str">
        <f>"E2050 - " &amp;RiskStatements[[#This Row],[Climate Variables/Explainers]]</f>
        <v>E2050 - Extreme Temperature</v>
      </c>
      <c r="G83" s="22" t="str">
        <f>"E2100 - " &amp;RiskStatements[[#This Row],[Climate Variables/Explainers]]</f>
        <v>E2100 - Extreme Temperature</v>
      </c>
      <c r="H83" s="22" t="str" cm="1">
        <f t="array" ref="H83">_xlfn.XLOOKUP(RiskStatements[[#This Row],[Elements at Risk]],Final_VEValues[Elements at Risk],_xlfn.XLOOKUP(RiskStatements[[#This Row],[Vulnerability Header]],Final_VEValues[#Headers],Final_VEValues[]))</f>
        <v>L</v>
      </c>
      <c r="I83" s="22" t="str" cm="1">
        <f t="array" ref="I83">_xlfn.XLOOKUP(RiskStatements[[#This Row],[Elements at Risk]],Final_VEValues[Elements at Risk],_xlfn.XLOOKUP(RiskStatements[[#This Row],[Exposure Present Header]],Final_VEValues[#Headers],Final_VEValues[]))</f>
        <v>M</v>
      </c>
      <c r="J83" s="22" t="str" cm="1">
        <f t="array" ref="J83">_xlfn.XLOOKUP(RiskStatements[[#This Row],[Elements at Risk]],Final_VEValues[Elements at Risk],_xlfn.XLOOKUP(RiskStatements[[#This Row],[Exposure 2050 Header]],Final_VEValues[#Headers],Final_VEValues[]))</f>
        <v>H</v>
      </c>
      <c r="K83" s="22" t="str" cm="1">
        <f t="array" ref="K83">_xlfn.XLOOKUP(RiskStatements[[#This Row],[Elements at Risk]],Final_VEValues[Elements at Risk],_xlfn.XLOOKUP(RiskStatements[[#This Row],[Exposure 2100 Header]],Final_VEValues[#Headers],Final_VEValues[]))</f>
        <v>H</v>
      </c>
      <c r="L83" s="22" t="str">
        <f>_xlfn.CONCAT(RiskStatements[[#This Row],[Climate Variables/Explainers]]," risk to ",RiskStatements[[#This Row],[Elements at Risk]])</f>
        <v>Extreme Temperature risk to Uninhabited Buildings</v>
      </c>
      <c r="M83" s="22" t="str" cm="1">
        <f t="array" ref="M83">_xlfn.XLOOKUP(RiskStatements[[#This Row],[Vulnerability Rating]],VEMatrix[Vulnerability],_xlfn.XLOOKUP(RiskStatements[[#This Row],[Exposure Rating - Present]],VEMatrix[#Headers],VEMatrix[]))</f>
        <v>Low</v>
      </c>
      <c r="N83" s="22" t="str" cm="1">
        <f t="array" ref="N83">_xlfn.XLOOKUP(RiskStatements[[#This Row],[Vulnerability Rating]],VEMatrix[Vulnerability],_xlfn.XLOOKUP(RiskStatements[[#This Row],[Exposure Rating - 2050]],VEMatrix[#Headers],VEMatrix[]))</f>
        <v>Moderate</v>
      </c>
      <c r="O83" s="22" t="str" cm="1">
        <f t="array" ref="O83">_xlfn.XLOOKUP(RiskStatements[[#This Row],[Vulnerability Rating]],VEMatrix[Vulnerability],_xlfn.XLOOKUP(RiskStatements[[#This Row],[Exposure Rating - 2100]],VEMatrix[#Headers],VEMatrix[]))</f>
        <v>Moderate</v>
      </c>
      <c r="P83" s="22">
        <f>_xlfn.XLOOKUP(RiskStatements[[#This Row],[Risk Rating - Present]],RatingOrder[Rating Order],RatingOrder[Rating Score],0,0)</f>
        <v>1</v>
      </c>
      <c r="Q83" s="22">
        <f>_xlfn.XLOOKUP(RiskStatements[[#This Row],[Risk Rating - 2050]],RatingOrder[Rating Order],RatingOrder[Rating Score],0,0)</f>
        <v>2</v>
      </c>
      <c r="R83" s="22">
        <f>_xlfn.XLOOKUP(RiskStatements[[#This Row],[Risk Rating - 2100]],RatingOrder[Rating Order],RatingOrder[Rating Score],0,0)</f>
        <v>2</v>
      </c>
      <c r="S8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84" spans="1:19" hidden="1" x14ac:dyDescent="0.35">
      <c r="A84" s="22" t="s">
        <v>120</v>
      </c>
      <c r="B84" s="22" t="s">
        <v>74</v>
      </c>
      <c r="C84" s="22" t="s">
        <v>424</v>
      </c>
      <c r="D84" s="22" t="str">
        <f>"V - " &amp;RiskStatements[[#This Row],[Climate Variables/Explainers]]</f>
        <v>V - Extreme Temperature</v>
      </c>
      <c r="E84" s="22" t="str">
        <f>"EP - " &amp;RiskStatements[[#This Row],[Climate Variables/Explainers]]</f>
        <v>EP - Extreme Temperature</v>
      </c>
      <c r="F84" s="22" t="str">
        <f>"E2050 - " &amp;RiskStatements[[#This Row],[Climate Variables/Explainers]]</f>
        <v>E2050 - Extreme Temperature</v>
      </c>
      <c r="G84" s="22" t="str">
        <f>"E2100 - " &amp;RiskStatements[[#This Row],[Climate Variables/Explainers]]</f>
        <v>E2100 - Extreme Temperature</v>
      </c>
      <c r="H84" s="22" t="str" cm="1">
        <f t="array" ref="H84">_xlfn.XLOOKUP(RiskStatements[[#This Row],[Elements at Risk]],Final_VEValues[Elements at Risk],_xlfn.XLOOKUP(RiskStatements[[#This Row],[Vulnerability Header]],Final_VEValues[#Headers],Final_VEValues[]))</f>
        <v>M</v>
      </c>
      <c r="I84" s="22" t="str" cm="1">
        <f t="array" ref="I84">_xlfn.XLOOKUP(RiskStatements[[#This Row],[Elements at Risk]],Final_VEValues[Elements at Risk],_xlfn.XLOOKUP(RiskStatements[[#This Row],[Exposure Present Header]],Final_VEValues[#Headers],Final_VEValues[]))</f>
        <v>M</v>
      </c>
      <c r="J84" s="22" t="str" cm="1">
        <f t="array" ref="J84">_xlfn.XLOOKUP(RiskStatements[[#This Row],[Elements at Risk]],Final_VEValues[Elements at Risk],_xlfn.XLOOKUP(RiskStatements[[#This Row],[Exposure 2050 Header]],Final_VEValues[#Headers],Final_VEValues[]))</f>
        <v>H</v>
      </c>
      <c r="K84" s="22" t="str" cm="1">
        <f t="array" ref="K84">_xlfn.XLOOKUP(RiskStatements[[#This Row],[Elements at Risk]],Final_VEValues[Elements at Risk],_xlfn.XLOOKUP(RiskStatements[[#This Row],[Exposure 2100 Header]],Final_VEValues[#Headers],Final_VEValues[]))</f>
        <v>H</v>
      </c>
      <c r="L84" s="22" t="str">
        <f>_xlfn.CONCAT(RiskStatements[[#This Row],[Climate Variables/Explainers]]," risk to ",RiskStatements[[#This Row],[Elements at Risk]])</f>
        <v>Extreme Temperature risk to Evacuation Structures</v>
      </c>
      <c r="M84" s="22" t="str" cm="1">
        <f t="array" ref="M84">_xlfn.XLOOKUP(RiskStatements[[#This Row],[Vulnerability Rating]],VEMatrix[Vulnerability],_xlfn.XLOOKUP(RiskStatements[[#This Row],[Exposure Rating - Present]],VEMatrix[#Headers],VEMatrix[]))</f>
        <v>Moderate</v>
      </c>
      <c r="N84" s="22" t="str" cm="1">
        <f t="array" ref="N84">_xlfn.XLOOKUP(RiskStatements[[#This Row],[Vulnerability Rating]],VEMatrix[Vulnerability],_xlfn.XLOOKUP(RiskStatements[[#This Row],[Exposure Rating - 2050]],VEMatrix[#Headers],VEMatrix[]))</f>
        <v>Moderate</v>
      </c>
      <c r="O84" s="22" t="str" cm="1">
        <f t="array" ref="O84">_xlfn.XLOOKUP(RiskStatements[[#This Row],[Vulnerability Rating]],VEMatrix[Vulnerability],_xlfn.XLOOKUP(RiskStatements[[#This Row],[Exposure Rating - 2100]],VEMatrix[#Headers],VEMatrix[]))</f>
        <v>Moderate</v>
      </c>
      <c r="P84" s="22">
        <f>_xlfn.XLOOKUP(RiskStatements[[#This Row],[Risk Rating - Present]],RatingOrder[Rating Order],RatingOrder[Rating Score],0,0)</f>
        <v>2</v>
      </c>
      <c r="Q84" s="22">
        <f>_xlfn.XLOOKUP(RiskStatements[[#This Row],[Risk Rating - 2050]],RatingOrder[Rating Order],RatingOrder[Rating Score],0,0)</f>
        <v>2</v>
      </c>
      <c r="R84" s="22">
        <f>_xlfn.XLOOKUP(RiskStatements[[#This Row],[Risk Rating - 2100]],RatingOrder[Rating Order],RatingOrder[Rating Score],0,0)</f>
        <v>2</v>
      </c>
      <c r="S8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85" spans="1:19" hidden="1" x14ac:dyDescent="0.35">
      <c r="A85" s="22" t="s">
        <v>46</v>
      </c>
      <c r="B85" s="22" t="s">
        <v>227</v>
      </c>
      <c r="C85" s="22" t="s">
        <v>424</v>
      </c>
      <c r="D85" s="22" t="str">
        <f>"V - " &amp;RiskStatements[[#This Row],[Climate Variables/Explainers]]</f>
        <v>V - Extreme Temperature</v>
      </c>
      <c r="E85" s="22" t="str">
        <f>"EP - " &amp;RiskStatements[[#This Row],[Climate Variables/Explainers]]</f>
        <v>EP - Extreme Temperature</v>
      </c>
      <c r="F85" s="22" t="str">
        <f>"E2050 - " &amp;RiskStatements[[#This Row],[Climate Variables/Explainers]]</f>
        <v>E2050 - Extreme Temperature</v>
      </c>
      <c r="G85" s="22" t="str">
        <f>"E2100 - " &amp;RiskStatements[[#This Row],[Climate Variables/Explainers]]</f>
        <v>E2100 - Extreme Temperature</v>
      </c>
      <c r="H85" s="22" t="str" cm="1">
        <f t="array" ref="H85">_xlfn.XLOOKUP(RiskStatements[[#This Row],[Elements at Risk]],Final_VEValues[Elements at Risk],_xlfn.XLOOKUP(RiskStatements[[#This Row],[Vulnerability Header]],Final_VEValues[#Headers],Final_VEValues[]))</f>
        <v>H</v>
      </c>
      <c r="I85" s="22" t="str" cm="1">
        <f t="array" ref="I85">_xlfn.XLOOKUP(RiskStatements[[#This Row],[Elements at Risk]],Final_VEValues[Elements at Risk],_xlfn.XLOOKUP(RiskStatements[[#This Row],[Exposure Present Header]],Final_VEValues[#Headers],Final_VEValues[]))</f>
        <v>M</v>
      </c>
      <c r="J85" s="22" t="str" cm="1">
        <f t="array" ref="J85">_xlfn.XLOOKUP(RiskStatements[[#This Row],[Elements at Risk]],Final_VEValues[Elements at Risk],_xlfn.XLOOKUP(RiskStatements[[#This Row],[Exposure 2050 Header]],Final_VEValues[#Headers],Final_VEValues[]))</f>
        <v>H</v>
      </c>
      <c r="K85" s="22" t="str" cm="1">
        <f t="array" ref="K85">_xlfn.XLOOKUP(RiskStatements[[#This Row],[Elements at Risk]],Final_VEValues[Elements at Risk],_xlfn.XLOOKUP(RiskStatements[[#This Row],[Exposure 2100 Header]],Final_VEValues[#Headers],Final_VEValues[]))</f>
        <v>E</v>
      </c>
      <c r="L85" s="22" t="str">
        <f>_xlfn.CONCAT(RiskStatements[[#This Row],[Climate Variables/Explainers]]," risk to ",RiskStatements[[#This Row],[Elements at Risk]])</f>
        <v>Extreme Temperature risk to Outdoor Land Activities</v>
      </c>
      <c r="M85" s="22" t="str" cm="1">
        <f t="array" ref="M85">_xlfn.XLOOKUP(RiskStatements[[#This Row],[Vulnerability Rating]],VEMatrix[Vulnerability],_xlfn.XLOOKUP(RiskStatements[[#This Row],[Exposure Rating - Present]],VEMatrix[#Headers],VEMatrix[]))</f>
        <v>Moderate</v>
      </c>
      <c r="N85" s="22" t="str" cm="1">
        <f t="array" ref="N85">_xlfn.XLOOKUP(RiskStatements[[#This Row],[Vulnerability Rating]],VEMatrix[Vulnerability],_xlfn.XLOOKUP(RiskStatements[[#This Row],[Exposure Rating - 2050]],VEMatrix[#Headers],VEMatrix[]))</f>
        <v>High</v>
      </c>
      <c r="O85" s="22" t="str" cm="1">
        <f t="array" ref="O85">_xlfn.XLOOKUP(RiskStatements[[#This Row],[Vulnerability Rating]],VEMatrix[Vulnerability],_xlfn.XLOOKUP(RiskStatements[[#This Row],[Exposure Rating - 2100]],VEMatrix[#Headers],VEMatrix[]))</f>
        <v>Extreme</v>
      </c>
      <c r="P85" s="22">
        <f>_xlfn.XLOOKUP(RiskStatements[[#This Row],[Risk Rating - Present]],RatingOrder[Rating Order],RatingOrder[Rating Score],0,0)</f>
        <v>2</v>
      </c>
      <c r="Q85" s="22">
        <f>_xlfn.XLOOKUP(RiskStatements[[#This Row],[Risk Rating - 2050]],RatingOrder[Rating Order],RatingOrder[Rating Score],0,0)</f>
        <v>3</v>
      </c>
      <c r="R85" s="22">
        <f>_xlfn.XLOOKUP(RiskStatements[[#This Row],[Risk Rating - 2100]],RatingOrder[Rating Order],RatingOrder[Rating Score],0,0)</f>
        <v>4</v>
      </c>
      <c r="S8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86" spans="1:19" hidden="1" x14ac:dyDescent="0.35">
      <c r="A86" s="22" t="s">
        <v>46</v>
      </c>
      <c r="B86" s="22" t="s">
        <v>226</v>
      </c>
      <c r="C86" s="22" t="s">
        <v>424</v>
      </c>
      <c r="D86" s="22" t="str">
        <f>"V - " &amp;RiskStatements[[#This Row],[Climate Variables/Explainers]]</f>
        <v>V - Extreme Temperature</v>
      </c>
      <c r="E86" s="22" t="str">
        <f>"EP - " &amp;RiskStatements[[#This Row],[Climate Variables/Explainers]]</f>
        <v>EP - Extreme Temperature</v>
      </c>
      <c r="F86" s="22" t="str">
        <f>"E2050 - " &amp;RiskStatements[[#This Row],[Climate Variables/Explainers]]</f>
        <v>E2050 - Extreme Temperature</v>
      </c>
      <c r="G86" s="22" t="str">
        <f>"E2100 - " &amp;RiskStatements[[#This Row],[Climate Variables/Explainers]]</f>
        <v>E2100 - Extreme Temperature</v>
      </c>
      <c r="H86" s="22" t="str" cm="1">
        <f t="array" ref="H86">_xlfn.XLOOKUP(RiskStatements[[#This Row],[Elements at Risk]],Final_VEValues[Elements at Risk],_xlfn.XLOOKUP(RiskStatements[[#This Row],[Vulnerability Header]],Final_VEValues[#Headers],Final_VEValues[]))</f>
        <v>H</v>
      </c>
      <c r="I86" s="22" t="str" cm="1">
        <f t="array" ref="I86">_xlfn.XLOOKUP(RiskStatements[[#This Row],[Elements at Risk]],Final_VEValues[Elements at Risk],_xlfn.XLOOKUP(RiskStatements[[#This Row],[Exposure Present Header]],Final_VEValues[#Headers],Final_VEValues[]))</f>
        <v>M</v>
      </c>
      <c r="J86" s="22" t="str" cm="1">
        <f t="array" ref="J86">_xlfn.XLOOKUP(RiskStatements[[#This Row],[Elements at Risk]],Final_VEValues[Elements at Risk],_xlfn.XLOOKUP(RiskStatements[[#This Row],[Exposure 2050 Header]],Final_VEValues[#Headers],Final_VEValues[]))</f>
        <v>H</v>
      </c>
      <c r="K86" s="22" t="str" cm="1">
        <f t="array" ref="K86">_xlfn.XLOOKUP(RiskStatements[[#This Row],[Elements at Risk]],Final_VEValues[Elements at Risk],_xlfn.XLOOKUP(RiskStatements[[#This Row],[Exposure 2100 Header]],Final_VEValues[#Headers],Final_VEValues[]))</f>
        <v>E</v>
      </c>
      <c r="L86" s="22" t="str">
        <f>_xlfn.CONCAT(RiskStatements[[#This Row],[Climate Variables/Explainers]]," risk to ",RiskStatements[[#This Row],[Elements at Risk]])</f>
        <v>Extreme Temperature risk to Outdoor Marine Activities</v>
      </c>
      <c r="M86" s="22" t="str" cm="1">
        <f t="array" ref="M86">_xlfn.XLOOKUP(RiskStatements[[#This Row],[Vulnerability Rating]],VEMatrix[Vulnerability],_xlfn.XLOOKUP(RiskStatements[[#This Row],[Exposure Rating - Present]],VEMatrix[#Headers],VEMatrix[]))</f>
        <v>Moderate</v>
      </c>
      <c r="N86" s="22" t="str" cm="1">
        <f t="array" ref="N86">_xlfn.XLOOKUP(RiskStatements[[#This Row],[Vulnerability Rating]],VEMatrix[Vulnerability],_xlfn.XLOOKUP(RiskStatements[[#This Row],[Exposure Rating - 2050]],VEMatrix[#Headers],VEMatrix[]))</f>
        <v>High</v>
      </c>
      <c r="O86" s="22" t="str" cm="1">
        <f t="array" ref="O86">_xlfn.XLOOKUP(RiskStatements[[#This Row],[Vulnerability Rating]],VEMatrix[Vulnerability],_xlfn.XLOOKUP(RiskStatements[[#This Row],[Exposure Rating - 2100]],VEMatrix[#Headers],VEMatrix[]))</f>
        <v>Extreme</v>
      </c>
      <c r="P86" s="22">
        <f>_xlfn.XLOOKUP(RiskStatements[[#This Row],[Risk Rating - Present]],RatingOrder[Rating Order],RatingOrder[Rating Score],0,0)</f>
        <v>2</v>
      </c>
      <c r="Q86" s="22">
        <f>_xlfn.XLOOKUP(RiskStatements[[#This Row],[Risk Rating - 2050]],RatingOrder[Rating Order],RatingOrder[Rating Score],0,0)</f>
        <v>3</v>
      </c>
      <c r="R86" s="22">
        <f>_xlfn.XLOOKUP(RiskStatements[[#This Row],[Risk Rating - 2100]],RatingOrder[Rating Order],RatingOrder[Rating Score],0,0)</f>
        <v>4</v>
      </c>
      <c r="S8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87" spans="1:19" hidden="1" x14ac:dyDescent="0.35">
      <c r="A87" s="22" t="s">
        <v>46</v>
      </c>
      <c r="B87" s="22" t="s">
        <v>225</v>
      </c>
      <c r="C87" s="22" t="s">
        <v>424</v>
      </c>
      <c r="D87" s="22" t="str">
        <f>"V - " &amp;RiskStatements[[#This Row],[Climate Variables/Explainers]]</f>
        <v>V - Extreme Temperature</v>
      </c>
      <c r="E87" s="22" t="str">
        <f>"EP - " &amp;RiskStatements[[#This Row],[Climate Variables/Explainers]]</f>
        <v>EP - Extreme Temperature</v>
      </c>
      <c r="F87" s="22" t="str">
        <f>"E2050 - " &amp;RiskStatements[[#This Row],[Climate Variables/Explainers]]</f>
        <v>E2050 - Extreme Temperature</v>
      </c>
      <c r="G87" s="22" t="str">
        <f>"E2100 - " &amp;RiskStatements[[#This Row],[Climate Variables/Explainers]]</f>
        <v>E2100 - Extreme Temperature</v>
      </c>
      <c r="H87" s="22" t="str" cm="1">
        <f t="array" ref="H87">_xlfn.XLOOKUP(RiskStatements[[#This Row],[Elements at Risk]],Final_VEValues[Elements at Risk],_xlfn.XLOOKUP(RiskStatements[[#This Row],[Vulnerability Header]],Final_VEValues[#Headers],Final_VEValues[]))</f>
        <v>H</v>
      </c>
      <c r="I87" s="22" t="str" cm="1">
        <f t="array" ref="I87">_xlfn.XLOOKUP(RiskStatements[[#This Row],[Elements at Risk]],Final_VEValues[Elements at Risk],_xlfn.XLOOKUP(RiskStatements[[#This Row],[Exposure Present Header]],Final_VEValues[#Headers],Final_VEValues[]))</f>
        <v>M</v>
      </c>
      <c r="J87" s="22" t="str" cm="1">
        <f t="array" ref="J87">_xlfn.XLOOKUP(RiskStatements[[#This Row],[Elements at Risk]],Final_VEValues[Elements at Risk],_xlfn.XLOOKUP(RiskStatements[[#This Row],[Exposure 2050 Header]],Final_VEValues[#Headers],Final_VEValues[]))</f>
        <v>H</v>
      </c>
      <c r="K87" s="22" t="str" cm="1">
        <f t="array" ref="K87">_xlfn.XLOOKUP(RiskStatements[[#This Row],[Elements at Risk]],Final_VEValues[Elements at Risk],_xlfn.XLOOKUP(RiskStatements[[#This Row],[Exposure 2100 Header]],Final_VEValues[#Headers],Final_VEValues[]))</f>
        <v>E</v>
      </c>
      <c r="L87" s="22" t="str">
        <f>_xlfn.CONCAT(RiskStatements[[#This Row],[Climate Variables/Explainers]]," risk to ",RiskStatements[[#This Row],[Elements at Risk]])</f>
        <v>Extreme Temperature risk to Outdoor Freshwater Activities</v>
      </c>
      <c r="M87" s="22" t="str" cm="1">
        <f t="array" ref="M87">_xlfn.XLOOKUP(RiskStatements[[#This Row],[Vulnerability Rating]],VEMatrix[Vulnerability],_xlfn.XLOOKUP(RiskStatements[[#This Row],[Exposure Rating - Present]],VEMatrix[#Headers],VEMatrix[]))</f>
        <v>Moderate</v>
      </c>
      <c r="N87" s="22" t="str" cm="1">
        <f t="array" ref="N87">_xlfn.XLOOKUP(RiskStatements[[#This Row],[Vulnerability Rating]],VEMatrix[Vulnerability],_xlfn.XLOOKUP(RiskStatements[[#This Row],[Exposure Rating - 2050]],VEMatrix[#Headers],VEMatrix[]))</f>
        <v>High</v>
      </c>
      <c r="O87" s="22" t="str" cm="1">
        <f t="array" ref="O87">_xlfn.XLOOKUP(RiskStatements[[#This Row],[Vulnerability Rating]],VEMatrix[Vulnerability],_xlfn.XLOOKUP(RiskStatements[[#This Row],[Exposure Rating - 2100]],VEMatrix[#Headers],VEMatrix[]))</f>
        <v>Extreme</v>
      </c>
      <c r="P87" s="22">
        <f>_xlfn.XLOOKUP(RiskStatements[[#This Row],[Risk Rating - Present]],RatingOrder[Rating Order],RatingOrder[Rating Score],0,0)</f>
        <v>2</v>
      </c>
      <c r="Q87" s="22">
        <f>_xlfn.XLOOKUP(RiskStatements[[#This Row],[Risk Rating - 2050]],RatingOrder[Rating Order],RatingOrder[Rating Score],0,0)</f>
        <v>3</v>
      </c>
      <c r="R87" s="22">
        <f>_xlfn.XLOOKUP(RiskStatements[[#This Row],[Risk Rating - 2100]],RatingOrder[Rating Order],RatingOrder[Rating Score],0,0)</f>
        <v>4</v>
      </c>
      <c r="S8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88" spans="1:19" hidden="1" x14ac:dyDescent="0.35">
      <c r="A88" s="22" t="s">
        <v>46</v>
      </c>
      <c r="B88" s="22" t="s">
        <v>79</v>
      </c>
      <c r="C88" s="22" t="s">
        <v>424</v>
      </c>
      <c r="D88" s="22" t="str">
        <f>"V - " &amp;RiskStatements[[#This Row],[Climate Variables/Explainers]]</f>
        <v>V - Extreme Temperature</v>
      </c>
      <c r="E88" s="22" t="str">
        <f>"EP - " &amp;RiskStatements[[#This Row],[Climate Variables/Explainers]]</f>
        <v>EP - Extreme Temperature</v>
      </c>
      <c r="F88" s="22" t="str">
        <f>"E2050 - " &amp;RiskStatements[[#This Row],[Climate Variables/Explainers]]</f>
        <v>E2050 - Extreme Temperature</v>
      </c>
      <c r="G88" s="22" t="str">
        <f>"E2100 - " &amp;RiskStatements[[#This Row],[Climate Variables/Explainers]]</f>
        <v>E2100 - Extreme Temperature</v>
      </c>
      <c r="H88" s="22" t="str" cm="1">
        <f t="array" ref="H88">_xlfn.XLOOKUP(RiskStatements[[#This Row],[Elements at Risk]],Final_VEValues[Elements at Risk],_xlfn.XLOOKUP(RiskStatements[[#This Row],[Vulnerability Header]],Final_VEValues[#Headers],Final_VEValues[]))</f>
        <v>H</v>
      </c>
      <c r="I88" s="22" t="str" cm="1">
        <f t="array" ref="I88">_xlfn.XLOOKUP(RiskStatements[[#This Row],[Elements at Risk]],Final_VEValues[Elements at Risk],_xlfn.XLOOKUP(RiskStatements[[#This Row],[Exposure Present Header]],Final_VEValues[#Headers],Final_VEValues[]))</f>
        <v>M</v>
      </c>
      <c r="J88" s="22" t="str" cm="1">
        <f t="array" ref="J88">_xlfn.XLOOKUP(RiskStatements[[#This Row],[Elements at Risk]],Final_VEValues[Elements at Risk],_xlfn.XLOOKUP(RiskStatements[[#This Row],[Exposure 2050 Header]],Final_VEValues[#Headers],Final_VEValues[]))</f>
        <v>H</v>
      </c>
      <c r="K88" s="22" t="str" cm="1">
        <f t="array" ref="K88">_xlfn.XLOOKUP(RiskStatements[[#This Row],[Elements at Risk]],Final_VEValues[Elements at Risk],_xlfn.XLOOKUP(RiskStatements[[#This Row],[Exposure 2100 Header]],Final_VEValues[#Headers],Final_VEValues[]))</f>
        <v>E</v>
      </c>
      <c r="L88" s="22" t="str">
        <f>_xlfn.CONCAT(RiskStatements[[#This Row],[Climate Variables/Explainers]]," risk to ",RiskStatements[[#This Row],[Elements at Risk]])</f>
        <v>Extreme Temperature risk to Outdoor Coastal Activities</v>
      </c>
      <c r="M88" s="22" t="str" cm="1">
        <f t="array" ref="M88">_xlfn.XLOOKUP(RiskStatements[[#This Row],[Vulnerability Rating]],VEMatrix[Vulnerability],_xlfn.XLOOKUP(RiskStatements[[#This Row],[Exposure Rating - Present]],VEMatrix[#Headers],VEMatrix[]))</f>
        <v>Moderate</v>
      </c>
      <c r="N88" s="22" t="str" cm="1">
        <f t="array" ref="N88">_xlfn.XLOOKUP(RiskStatements[[#This Row],[Vulnerability Rating]],VEMatrix[Vulnerability],_xlfn.XLOOKUP(RiskStatements[[#This Row],[Exposure Rating - 2050]],VEMatrix[#Headers],VEMatrix[]))</f>
        <v>High</v>
      </c>
      <c r="O88" s="22" t="str" cm="1">
        <f t="array" ref="O88">_xlfn.XLOOKUP(RiskStatements[[#This Row],[Vulnerability Rating]],VEMatrix[Vulnerability],_xlfn.XLOOKUP(RiskStatements[[#This Row],[Exposure Rating - 2100]],VEMatrix[#Headers],VEMatrix[]))</f>
        <v>Extreme</v>
      </c>
      <c r="P88" s="22">
        <f>_xlfn.XLOOKUP(RiskStatements[[#This Row],[Risk Rating - Present]],RatingOrder[Rating Order],RatingOrder[Rating Score],0,0)</f>
        <v>2</v>
      </c>
      <c r="Q88" s="22">
        <f>_xlfn.XLOOKUP(RiskStatements[[#This Row],[Risk Rating - 2050]],RatingOrder[Rating Order],RatingOrder[Rating Score],0,0)</f>
        <v>3</v>
      </c>
      <c r="R88" s="22">
        <f>_xlfn.XLOOKUP(RiskStatements[[#This Row],[Risk Rating - 2100]],RatingOrder[Rating Order],RatingOrder[Rating Score],0,0)</f>
        <v>4</v>
      </c>
      <c r="S8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89" spans="1:19" hidden="1" x14ac:dyDescent="0.35">
      <c r="A89" s="22" t="s">
        <v>46</v>
      </c>
      <c r="B89" s="175" t="s">
        <v>443</v>
      </c>
      <c r="C89" s="22" t="s">
        <v>424</v>
      </c>
      <c r="D89" s="22" t="str">
        <f>"V - " &amp;RiskStatements[[#This Row],[Climate Variables/Explainers]]</f>
        <v>V - Extreme Temperature</v>
      </c>
      <c r="E89" s="22" t="str">
        <f>"EP - " &amp;RiskStatements[[#This Row],[Climate Variables/Explainers]]</f>
        <v>EP - Extreme Temperature</v>
      </c>
      <c r="F89" s="22" t="str">
        <f>"E2050 - " &amp;RiskStatements[[#This Row],[Climate Variables/Explainers]]</f>
        <v>E2050 - Extreme Temperature</v>
      </c>
      <c r="G89" s="22" t="str">
        <f>"E2100 - " &amp;RiskStatements[[#This Row],[Climate Variables/Explainers]]</f>
        <v>E2100 - Extreme Temperature</v>
      </c>
      <c r="H89" s="22" t="str" cm="1">
        <f t="array" ref="H89">_xlfn.XLOOKUP(RiskStatements[[#This Row],[Elements at Risk]],Final_VEValues[Elements at Risk],_xlfn.XLOOKUP(RiskStatements[[#This Row],[Vulnerability Header]],Final_VEValues[#Headers],Final_VEValues[]))</f>
        <v>L</v>
      </c>
      <c r="I89" s="22" t="str" cm="1">
        <f t="array" ref="I89">_xlfn.XLOOKUP(RiskStatements[[#This Row],[Elements at Risk]],Final_VEValues[Elements at Risk],_xlfn.XLOOKUP(RiskStatements[[#This Row],[Exposure Present Header]],Final_VEValues[#Headers],Final_VEValues[]))</f>
        <v>M</v>
      </c>
      <c r="J89" s="22" t="str" cm="1">
        <f t="array" ref="J89">_xlfn.XLOOKUP(RiskStatements[[#This Row],[Elements at Risk]],Final_VEValues[Elements at Risk],_xlfn.XLOOKUP(RiskStatements[[#This Row],[Exposure 2050 Header]],Final_VEValues[#Headers],Final_VEValues[]))</f>
        <v>M</v>
      </c>
      <c r="K89" s="22" t="str" cm="1">
        <f t="array" ref="K89">_xlfn.XLOOKUP(RiskStatements[[#This Row],[Elements at Risk]],Final_VEValues[Elements at Risk],_xlfn.XLOOKUP(RiskStatements[[#This Row],[Exposure 2100 Header]],Final_VEValues[#Headers],Final_VEValues[]))</f>
        <v>M</v>
      </c>
      <c r="L89" s="22" t="str">
        <f>_xlfn.CONCAT(RiskStatements[[#This Row],[Climate Variables/Explainers]]," risk to ",RiskStatements[[#This Row],[Elements at Risk]])</f>
        <v>Extreme Temperature risk to Land Transportation Activities</v>
      </c>
      <c r="M89" s="22" t="str" cm="1">
        <f t="array" ref="M89">_xlfn.XLOOKUP(RiskStatements[[#This Row],[Vulnerability Rating]],VEMatrix[Vulnerability],_xlfn.XLOOKUP(RiskStatements[[#This Row],[Exposure Rating - Present]],VEMatrix[#Headers],VEMatrix[]))</f>
        <v>Low</v>
      </c>
      <c r="N89" s="22" t="str" cm="1">
        <f t="array" ref="N89">_xlfn.XLOOKUP(RiskStatements[[#This Row],[Vulnerability Rating]],VEMatrix[Vulnerability],_xlfn.XLOOKUP(RiskStatements[[#This Row],[Exposure Rating - 2050]],VEMatrix[#Headers],VEMatrix[]))</f>
        <v>Low</v>
      </c>
      <c r="O89" s="22" t="str" cm="1">
        <f t="array" ref="O89">_xlfn.XLOOKUP(RiskStatements[[#This Row],[Vulnerability Rating]],VEMatrix[Vulnerability],_xlfn.XLOOKUP(RiskStatements[[#This Row],[Exposure Rating - 2100]],VEMatrix[#Headers],VEMatrix[]))</f>
        <v>Low</v>
      </c>
      <c r="P89" s="22">
        <f>_xlfn.XLOOKUP(RiskStatements[[#This Row],[Risk Rating - Present]],RatingOrder[Rating Order],RatingOrder[Rating Score],0,0)</f>
        <v>1</v>
      </c>
      <c r="Q89" s="22">
        <f>_xlfn.XLOOKUP(RiskStatements[[#This Row],[Risk Rating - 2050]],RatingOrder[Rating Order],RatingOrder[Rating Score],0,0)</f>
        <v>1</v>
      </c>
      <c r="R89" s="22">
        <f>_xlfn.XLOOKUP(RiskStatements[[#This Row],[Risk Rating - 2100]],RatingOrder[Rating Order],RatingOrder[Rating Score],0,0)</f>
        <v>1</v>
      </c>
      <c r="S8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90" spans="1:19" hidden="1" x14ac:dyDescent="0.35">
      <c r="A90" s="22" t="s">
        <v>46</v>
      </c>
      <c r="B90" s="22" t="s">
        <v>222</v>
      </c>
      <c r="C90" s="22" t="s">
        <v>424</v>
      </c>
      <c r="D90" s="22" t="str">
        <f>"V - " &amp;RiskStatements[[#This Row],[Climate Variables/Explainers]]</f>
        <v>V - Extreme Temperature</v>
      </c>
      <c r="E90" s="22" t="str">
        <f>"EP - " &amp;RiskStatements[[#This Row],[Climate Variables/Explainers]]</f>
        <v>EP - Extreme Temperature</v>
      </c>
      <c r="F90" s="22" t="str">
        <f>"E2050 - " &amp;RiskStatements[[#This Row],[Climate Variables/Explainers]]</f>
        <v>E2050 - Extreme Temperature</v>
      </c>
      <c r="G90" s="22" t="str">
        <f>"E2100 - " &amp;RiskStatements[[#This Row],[Climate Variables/Explainers]]</f>
        <v>E2100 - Extreme Temperature</v>
      </c>
      <c r="H90" s="22" t="str" cm="1">
        <f t="array" ref="H90">_xlfn.XLOOKUP(RiskStatements[[#This Row],[Elements at Risk]],Final_VEValues[Elements at Risk],_xlfn.XLOOKUP(RiskStatements[[#This Row],[Vulnerability Header]],Final_VEValues[#Headers],Final_VEValues[]))</f>
        <v>L</v>
      </c>
      <c r="I90" s="22" t="str" cm="1">
        <f t="array" ref="I90">_xlfn.XLOOKUP(RiskStatements[[#This Row],[Elements at Risk]],Final_VEValues[Elements at Risk],_xlfn.XLOOKUP(RiskStatements[[#This Row],[Exposure Present Header]],Final_VEValues[#Headers],Final_VEValues[]))</f>
        <v>M</v>
      </c>
      <c r="J90" s="22" t="str" cm="1">
        <f t="array" ref="J90">_xlfn.XLOOKUP(RiskStatements[[#This Row],[Elements at Risk]],Final_VEValues[Elements at Risk],_xlfn.XLOOKUP(RiskStatements[[#This Row],[Exposure 2050 Header]],Final_VEValues[#Headers],Final_VEValues[]))</f>
        <v>M</v>
      </c>
      <c r="K90" s="22" t="str" cm="1">
        <f t="array" ref="K90">_xlfn.XLOOKUP(RiskStatements[[#This Row],[Elements at Risk]],Final_VEValues[Elements at Risk],_xlfn.XLOOKUP(RiskStatements[[#This Row],[Exposure 2100 Header]],Final_VEValues[#Headers],Final_VEValues[]))</f>
        <v>M</v>
      </c>
      <c r="L90" s="22" t="str">
        <f>_xlfn.CONCAT(RiskStatements[[#This Row],[Climate Variables/Explainers]]," risk to ",RiskStatements[[#This Row],[Elements at Risk]])</f>
        <v>Extreme Temperature risk to Water Transportation Activities</v>
      </c>
      <c r="M90" s="22" t="str" cm="1">
        <f t="array" ref="M90">_xlfn.XLOOKUP(RiskStatements[[#This Row],[Vulnerability Rating]],VEMatrix[Vulnerability],_xlfn.XLOOKUP(RiskStatements[[#This Row],[Exposure Rating - Present]],VEMatrix[#Headers],VEMatrix[]))</f>
        <v>Low</v>
      </c>
      <c r="N90" s="22" t="str" cm="1">
        <f t="array" ref="N90">_xlfn.XLOOKUP(RiskStatements[[#This Row],[Vulnerability Rating]],VEMatrix[Vulnerability],_xlfn.XLOOKUP(RiskStatements[[#This Row],[Exposure Rating - 2050]],VEMatrix[#Headers],VEMatrix[]))</f>
        <v>Low</v>
      </c>
      <c r="O90" s="22" t="str" cm="1">
        <f t="array" ref="O90">_xlfn.XLOOKUP(RiskStatements[[#This Row],[Vulnerability Rating]],VEMatrix[Vulnerability],_xlfn.XLOOKUP(RiskStatements[[#This Row],[Exposure Rating - 2100]],VEMatrix[#Headers],VEMatrix[]))</f>
        <v>Low</v>
      </c>
      <c r="P90" s="22">
        <f>_xlfn.XLOOKUP(RiskStatements[[#This Row],[Risk Rating - Present]],RatingOrder[Rating Order],RatingOrder[Rating Score],0,0)</f>
        <v>1</v>
      </c>
      <c r="Q90" s="22">
        <f>_xlfn.XLOOKUP(RiskStatements[[#This Row],[Risk Rating - 2050]],RatingOrder[Rating Order],RatingOrder[Rating Score],0,0)</f>
        <v>1</v>
      </c>
      <c r="R90" s="22">
        <f>_xlfn.XLOOKUP(RiskStatements[[#This Row],[Risk Rating - 2100]],RatingOrder[Rating Order],RatingOrder[Rating Score],0,0)</f>
        <v>1</v>
      </c>
      <c r="S9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91" spans="1:19" hidden="1" x14ac:dyDescent="0.35">
      <c r="A91" s="22" t="s">
        <v>46</v>
      </c>
      <c r="B91" s="22" t="s">
        <v>221</v>
      </c>
      <c r="C91" s="22" t="s">
        <v>424</v>
      </c>
      <c r="D91" s="22" t="str">
        <f>"V - " &amp;RiskStatements[[#This Row],[Climate Variables/Explainers]]</f>
        <v>V - Extreme Temperature</v>
      </c>
      <c r="E91" s="22" t="str">
        <f>"EP - " &amp;RiskStatements[[#This Row],[Climate Variables/Explainers]]</f>
        <v>EP - Extreme Temperature</v>
      </c>
      <c r="F91" s="22" t="str">
        <f>"E2050 - " &amp;RiskStatements[[#This Row],[Climate Variables/Explainers]]</f>
        <v>E2050 - Extreme Temperature</v>
      </c>
      <c r="G91" s="22" t="str">
        <f>"E2100 - " &amp;RiskStatements[[#This Row],[Climate Variables/Explainers]]</f>
        <v>E2100 - Extreme Temperature</v>
      </c>
      <c r="H91" s="22" t="str" cm="1">
        <f t="array" ref="H91">_xlfn.XLOOKUP(RiskStatements[[#This Row],[Elements at Risk]],Final_VEValues[Elements at Risk],_xlfn.XLOOKUP(RiskStatements[[#This Row],[Vulnerability Header]],Final_VEValues[#Headers],Final_VEValues[]))</f>
        <v>M</v>
      </c>
      <c r="I91" s="22" t="str" cm="1">
        <f t="array" ref="I91">_xlfn.XLOOKUP(RiskStatements[[#This Row],[Elements at Risk]],Final_VEValues[Elements at Risk],_xlfn.XLOOKUP(RiskStatements[[#This Row],[Exposure Present Header]],Final_VEValues[#Headers],Final_VEValues[]))</f>
        <v>M</v>
      </c>
      <c r="J91" s="22" t="str" cm="1">
        <f t="array" ref="J91">_xlfn.XLOOKUP(RiskStatements[[#This Row],[Elements at Risk]],Final_VEValues[Elements at Risk],_xlfn.XLOOKUP(RiskStatements[[#This Row],[Exposure 2050 Header]],Final_VEValues[#Headers],Final_VEValues[]))</f>
        <v>H</v>
      </c>
      <c r="K91" s="22" t="str" cm="1">
        <f t="array" ref="K91">_xlfn.XLOOKUP(RiskStatements[[#This Row],[Elements at Risk]],Final_VEValues[Elements at Risk],_xlfn.XLOOKUP(RiskStatements[[#This Row],[Exposure 2100 Header]],Final_VEValues[#Headers],Final_VEValues[]))</f>
        <v>E</v>
      </c>
      <c r="L91" s="22" t="str">
        <f>_xlfn.CONCAT(RiskStatements[[#This Row],[Climate Variables/Explainers]]," risk to ",RiskStatements[[#This Row],[Elements at Risk]])</f>
        <v>Extreme Temperature risk to Office / Shop / Admin Activities</v>
      </c>
      <c r="M91" s="22" t="str" cm="1">
        <f t="array" ref="M91">_xlfn.XLOOKUP(RiskStatements[[#This Row],[Vulnerability Rating]],VEMatrix[Vulnerability],_xlfn.XLOOKUP(RiskStatements[[#This Row],[Exposure Rating - Present]],VEMatrix[#Headers],VEMatrix[]))</f>
        <v>Moderate</v>
      </c>
      <c r="N91" s="22" t="str" cm="1">
        <f t="array" ref="N91">_xlfn.XLOOKUP(RiskStatements[[#This Row],[Vulnerability Rating]],VEMatrix[Vulnerability],_xlfn.XLOOKUP(RiskStatements[[#This Row],[Exposure Rating - 2050]],VEMatrix[#Headers],VEMatrix[]))</f>
        <v>Moderate</v>
      </c>
      <c r="O91" s="22" t="str" cm="1">
        <f t="array" ref="O91">_xlfn.XLOOKUP(RiskStatements[[#This Row],[Vulnerability Rating]],VEMatrix[Vulnerability],_xlfn.XLOOKUP(RiskStatements[[#This Row],[Exposure Rating - 2100]],VEMatrix[#Headers],VEMatrix[]))</f>
        <v>High</v>
      </c>
      <c r="P91" s="22">
        <f>_xlfn.XLOOKUP(RiskStatements[[#This Row],[Risk Rating - Present]],RatingOrder[Rating Order],RatingOrder[Rating Score],0,0)</f>
        <v>2</v>
      </c>
      <c r="Q91" s="22">
        <f>_xlfn.XLOOKUP(RiskStatements[[#This Row],[Risk Rating - 2050]],RatingOrder[Rating Order],RatingOrder[Rating Score],0,0)</f>
        <v>2</v>
      </c>
      <c r="R91" s="22">
        <f>_xlfn.XLOOKUP(RiskStatements[[#This Row],[Risk Rating - 2100]],RatingOrder[Rating Order],RatingOrder[Rating Score],0,0)</f>
        <v>3</v>
      </c>
      <c r="S9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92" spans="1:19" hidden="1" x14ac:dyDescent="0.35">
      <c r="A92" s="22" t="s">
        <v>46</v>
      </c>
      <c r="B92" s="22" t="s">
        <v>219</v>
      </c>
      <c r="C92" s="22" t="s">
        <v>424</v>
      </c>
      <c r="D92" s="22" t="str">
        <f>"V - " &amp;RiskStatements[[#This Row],[Climate Variables/Explainers]]</f>
        <v>V - Extreme Temperature</v>
      </c>
      <c r="E92" s="22" t="str">
        <f>"EP - " &amp;RiskStatements[[#This Row],[Climate Variables/Explainers]]</f>
        <v>EP - Extreme Temperature</v>
      </c>
      <c r="F92" s="22" t="str">
        <f>"E2050 - " &amp;RiskStatements[[#This Row],[Climate Variables/Explainers]]</f>
        <v>E2050 - Extreme Temperature</v>
      </c>
      <c r="G92" s="22" t="str">
        <f>"E2100 - " &amp;RiskStatements[[#This Row],[Climate Variables/Explainers]]</f>
        <v>E2100 - Extreme Temperature</v>
      </c>
      <c r="H92" s="22" t="str" cm="1">
        <f t="array" ref="H92">_xlfn.XLOOKUP(RiskStatements[[#This Row],[Elements at Risk]],Final_VEValues[Elements at Risk],_xlfn.XLOOKUP(RiskStatements[[#This Row],[Vulnerability Header]],Final_VEValues[#Headers],Final_VEValues[]))</f>
        <v>M</v>
      </c>
      <c r="I92" s="22" t="str" cm="1">
        <f t="array" ref="I92">_xlfn.XLOOKUP(RiskStatements[[#This Row],[Elements at Risk]],Final_VEValues[Elements at Risk],_xlfn.XLOOKUP(RiskStatements[[#This Row],[Exposure Present Header]],Final_VEValues[#Headers],Final_VEValues[]))</f>
        <v>M</v>
      </c>
      <c r="J92" s="22" t="str" cm="1">
        <f t="array" ref="J92">_xlfn.XLOOKUP(RiskStatements[[#This Row],[Elements at Risk]],Final_VEValues[Elements at Risk],_xlfn.XLOOKUP(RiskStatements[[#This Row],[Exposure 2050 Header]],Final_VEValues[#Headers],Final_VEValues[]))</f>
        <v>H</v>
      </c>
      <c r="K92" s="22" t="str" cm="1">
        <f t="array" ref="K92">_xlfn.XLOOKUP(RiskStatements[[#This Row],[Elements at Risk]],Final_VEValues[Elements at Risk],_xlfn.XLOOKUP(RiskStatements[[#This Row],[Exposure 2100 Header]],Final_VEValues[#Headers],Final_VEValues[]))</f>
        <v>E</v>
      </c>
      <c r="L92" s="22" t="str">
        <f>_xlfn.CONCAT(RiskStatements[[#This Row],[Climate Variables/Explainers]]," risk to ",RiskStatements[[#This Row],[Elements at Risk]])</f>
        <v>Extreme Temperature risk to Goods Supply Activities</v>
      </c>
      <c r="M92" s="22" t="str" cm="1">
        <f t="array" ref="M92">_xlfn.XLOOKUP(RiskStatements[[#This Row],[Vulnerability Rating]],VEMatrix[Vulnerability],_xlfn.XLOOKUP(RiskStatements[[#This Row],[Exposure Rating - Present]],VEMatrix[#Headers],VEMatrix[]))</f>
        <v>Moderate</v>
      </c>
      <c r="N92" s="22" t="str" cm="1">
        <f t="array" ref="N92">_xlfn.XLOOKUP(RiskStatements[[#This Row],[Vulnerability Rating]],VEMatrix[Vulnerability],_xlfn.XLOOKUP(RiskStatements[[#This Row],[Exposure Rating - 2050]],VEMatrix[#Headers],VEMatrix[]))</f>
        <v>Moderate</v>
      </c>
      <c r="O92" s="22" t="str" cm="1">
        <f t="array" ref="O92">_xlfn.XLOOKUP(RiskStatements[[#This Row],[Vulnerability Rating]],VEMatrix[Vulnerability],_xlfn.XLOOKUP(RiskStatements[[#This Row],[Exposure Rating - 2100]],VEMatrix[#Headers],VEMatrix[]))</f>
        <v>High</v>
      </c>
      <c r="P92" s="22">
        <f>_xlfn.XLOOKUP(RiskStatements[[#This Row],[Risk Rating - Present]],RatingOrder[Rating Order],RatingOrder[Rating Score],0,0)</f>
        <v>2</v>
      </c>
      <c r="Q92" s="22">
        <f>_xlfn.XLOOKUP(RiskStatements[[#This Row],[Risk Rating - 2050]],RatingOrder[Rating Order],RatingOrder[Rating Score],0,0)</f>
        <v>2</v>
      </c>
      <c r="R92" s="22">
        <f>_xlfn.XLOOKUP(RiskStatements[[#This Row],[Risk Rating - 2100]],RatingOrder[Rating Order],RatingOrder[Rating Score],0,0)</f>
        <v>3</v>
      </c>
      <c r="S9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93" spans="1:19" hidden="1" x14ac:dyDescent="0.35">
      <c r="A93" s="22" t="s">
        <v>46</v>
      </c>
      <c r="B93" s="22" t="s">
        <v>217</v>
      </c>
      <c r="C93" s="22" t="s">
        <v>424</v>
      </c>
      <c r="D93" s="22" t="str">
        <f>"V - " &amp;RiskStatements[[#This Row],[Climate Variables/Explainers]]</f>
        <v>V - Extreme Temperature</v>
      </c>
      <c r="E93" s="22" t="str">
        <f>"EP - " &amp;RiskStatements[[#This Row],[Climate Variables/Explainers]]</f>
        <v>EP - Extreme Temperature</v>
      </c>
      <c r="F93" s="22" t="str">
        <f>"E2050 - " &amp;RiskStatements[[#This Row],[Climate Variables/Explainers]]</f>
        <v>E2050 - Extreme Temperature</v>
      </c>
      <c r="G93" s="22" t="str">
        <f>"E2100 - " &amp;RiskStatements[[#This Row],[Climate Variables/Explainers]]</f>
        <v>E2100 - Extreme Temperature</v>
      </c>
      <c r="H93" s="22" t="str" cm="1">
        <f t="array" ref="H93">_xlfn.XLOOKUP(RiskStatements[[#This Row],[Elements at Risk]],Final_VEValues[Elements at Risk],_xlfn.XLOOKUP(RiskStatements[[#This Row],[Vulnerability Header]],Final_VEValues[#Headers],Final_VEValues[]))</f>
        <v>H</v>
      </c>
      <c r="I93" s="22" t="str" cm="1">
        <f t="array" ref="I93">_xlfn.XLOOKUP(RiskStatements[[#This Row],[Elements at Risk]],Final_VEValues[Elements at Risk],_xlfn.XLOOKUP(RiskStatements[[#This Row],[Exposure Present Header]],Final_VEValues[#Headers],Final_VEValues[]))</f>
        <v>M</v>
      </c>
      <c r="J93" s="22" t="str" cm="1">
        <f t="array" ref="J93">_xlfn.XLOOKUP(RiskStatements[[#This Row],[Elements at Risk]],Final_VEValues[Elements at Risk],_xlfn.XLOOKUP(RiskStatements[[#This Row],[Exposure 2050 Header]],Final_VEValues[#Headers],Final_VEValues[]))</f>
        <v>H</v>
      </c>
      <c r="K93" s="22" t="str" cm="1">
        <f t="array" ref="K93">_xlfn.XLOOKUP(RiskStatements[[#This Row],[Elements at Risk]],Final_VEValues[Elements at Risk],_xlfn.XLOOKUP(RiskStatements[[#This Row],[Exposure 2100 Header]],Final_VEValues[#Headers],Final_VEValues[]))</f>
        <v>E</v>
      </c>
      <c r="L93" s="22" t="str">
        <f>_xlfn.CONCAT(RiskStatements[[#This Row],[Climate Variables/Explainers]]," risk to ",RiskStatements[[#This Row],[Elements at Risk]])</f>
        <v>Extreme Temperature risk to Construction Activities</v>
      </c>
      <c r="M93" s="22" t="str" cm="1">
        <f t="array" ref="M93">_xlfn.XLOOKUP(RiskStatements[[#This Row],[Vulnerability Rating]],VEMatrix[Vulnerability],_xlfn.XLOOKUP(RiskStatements[[#This Row],[Exposure Rating - Present]],VEMatrix[#Headers],VEMatrix[]))</f>
        <v>Moderate</v>
      </c>
      <c r="N93" s="22" t="str" cm="1">
        <f t="array" ref="N93">_xlfn.XLOOKUP(RiskStatements[[#This Row],[Vulnerability Rating]],VEMatrix[Vulnerability],_xlfn.XLOOKUP(RiskStatements[[#This Row],[Exposure Rating - 2050]],VEMatrix[#Headers],VEMatrix[]))</f>
        <v>High</v>
      </c>
      <c r="O93" s="22" t="str" cm="1">
        <f t="array" ref="O93">_xlfn.XLOOKUP(RiskStatements[[#This Row],[Vulnerability Rating]],VEMatrix[Vulnerability],_xlfn.XLOOKUP(RiskStatements[[#This Row],[Exposure Rating - 2100]],VEMatrix[#Headers],VEMatrix[]))</f>
        <v>Extreme</v>
      </c>
      <c r="P93" s="22">
        <f>_xlfn.XLOOKUP(RiskStatements[[#This Row],[Risk Rating - Present]],RatingOrder[Rating Order],RatingOrder[Rating Score],0,0)</f>
        <v>2</v>
      </c>
      <c r="Q93" s="22">
        <f>_xlfn.XLOOKUP(RiskStatements[[#This Row],[Risk Rating - 2050]],RatingOrder[Rating Order],RatingOrder[Rating Score],0,0)</f>
        <v>3</v>
      </c>
      <c r="R93" s="22">
        <f>_xlfn.XLOOKUP(RiskStatements[[#This Row],[Risk Rating - 2100]],RatingOrder[Rating Order],RatingOrder[Rating Score],0,0)</f>
        <v>4</v>
      </c>
      <c r="S9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94" spans="1:19" x14ac:dyDescent="0.35">
      <c r="A94" s="22" t="s">
        <v>111</v>
      </c>
      <c r="B94" s="22" t="s">
        <v>112</v>
      </c>
      <c r="C94" s="22" t="s">
        <v>457</v>
      </c>
      <c r="D94" s="22" t="str">
        <f>"V - " &amp;RiskStatements[[#This Row],[Climate Variables/Explainers]]</f>
        <v>V - Marine Heat Waves</v>
      </c>
      <c r="E94" s="22" t="str">
        <f>"EP - " &amp;RiskStatements[[#This Row],[Climate Variables/Explainers]]</f>
        <v>EP - Marine Heat Waves</v>
      </c>
      <c r="F94" s="22" t="str">
        <f>"E2050 - " &amp;RiskStatements[[#This Row],[Climate Variables/Explainers]]</f>
        <v>E2050 - Marine Heat Waves</v>
      </c>
      <c r="G94" s="22" t="str">
        <f>"E2100 - " &amp;RiskStatements[[#This Row],[Climate Variables/Explainers]]</f>
        <v>E2100 - Marine Heat Waves</v>
      </c>
      <c r="H94" s="22" t="str" cm="1">
        <f t="array" ref="H94">_xlfn.XLOOKUP(RiskStatements[[#This Row],[Elements at Risk]],Final_VEValues[Elements at Risk],_xlfn.XLOOKUP(RiskStatements[[#This Row],[Vulnerability Header]],Final_VEValues[#Headers],Final_VEValues[]))</f>
        <v>E</v>
      </c>
      <c r="I94" s="22" t="str" cm="1">
        <f t="array" ref="I94">_xlfn.XLOOKUP(RiskStatements[[#This Row],[Elements at Risk]],Final_VEValues[Elements at Risk],_xlfn.XLOOKUP(RiskStatements[[#This Row],[Exposure Present Header]],Final_VEValues[#Headers],Final_VEValues[]))</f>
        <v>H</v>
      </c>
      <c r="J94" s="22" t="str" cm="1">
        <f t="array" ref="J94">_xlfn.XLOOKUP(RiskStatements[[#This Row],[Elements at Risk]],Final_VEValues[Elements at Risk],_xlfn.XLOOKUP(RiskStatements[[#This Row],[Exposure 2050 Header]],Final_VEValues[#Headers],Final_VEValues[]))</f>
        <v>E</v>
      </c>
      <c r="K94" s="22" t="str" cm="1">
        <f t="array" ref="K94">_xlfn.XLOOKUP(RiskStatements[[#This Row],[Elements at Risk]],Final_VEValues[Elements at Risk],_xlfn.XLOOKUP(RiskStatements[[#This Row],[Exposure 2100 Header]],Final_VEValues[#Headers],Final_VEValues[]))</f>
        <v>E</v>
      </c>
      <c r="L94" s="22" t="str">
        <f>_xlfn.CONCAT(RiskStatements[[#This Row],[Climate Variables/Explainers]]," risk to ",RiskStatements[[#This Row],[Elements at Risk]])</f>
        <v>Marine Heat Waves risk to Coastal / Marine Ecosystems</v>
      </c>
      <c r="M94" s="22" t="str" cm="1">
        <f t="array" ref="M94">_xlfn.XLOOKUP(RiskStatements[[#This Row],[Vulnerability Rating]],VEMatrix[Vulnerability],_xlfn.XLOOKUP(RiskStatements[[#This Row],[Exposure Rating - Present]],VEMatrix[#Headers],VEMatrix[]))</f>
        <v>Extreme</v>
      </c>
      <c r="N94" s="22" t="str" cm="1">
        <f t="array" ref="N94">_xlfn.XLOOKUP(RiskStatements[[#This Row],[Vulnerability Rating]],VEMatrix[Vulnerability],_xlfn.XLOOKUP(RiskStatements[[#This Row],[Exposure Rating - 2050]],VEMatrix[#Headers],VEMatrix[]))</f>
        <v>Extreme</v>
      </c>
      <c r="O94" s="22" t="str" cm="1">
        <f t="array" ref="O94">_xlfn.XLOOKUP(RiskStatements[[#This Row],[Vulnerability Rating]],VEMatrix[Vulnerability],_xlfn.XLOOKUP(RiskStatements[[#This Row],[Exposure Rating - 2100]],VEMatrix[#Headers],VEMatrix[]))</f>
        <v>Extreme</v>
      </c>
      <c r="P94" s="22">
        <f>_xlfn.XLOOKUP(RiskStatements[[#This Row],[Risk Rating - Present]],RatingOrder[Rating Order],RatingOrder[Rating Score],0,0)</f>
        <v>4</v>
      </c>
      <c r="Q94" s="22">
        <f>_xlfn.XLOOKUP(RiskStatements[[#This Row],[Risk Rating - 2050]],RatingOrder[Rating Order],RatingOrder[Rating Score],0,0)</f>
        <v>4</v>
      </c>
      <c r="R94" s="22">
        <f>_xlfn.XLOOKUP(RiskStatements[[#This Row],[Risk Rating - 2100]],RatingOrder[Rating Order],RatingOrder[Rating Score],0,0)</f>
        <v>4</v>
      </c>
      <c r="S9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95" spans="1:19" hidden="1" x14ac:dyDescent="0.35">
      <c r="A95" s="22" t="s">
        <v>111</v>
      </c>
      <c r="B95" s="22" t="s">
        <v>117</v>
      </c>
      <c r="C95" s="22" t="s">
        <v>457</v>
      </c>
      <c r="D95" s="22" t="str">
        <f>"V - " &amp;RiskStatements[[#This Row],[Climate Variables/Explainers]]</f>
        <v>V - Marine Heat Waves</v>
      </c>
      <c r="E95" s="22" t="str">
        <f>"EP - " &amp;RiskStatements[[#This Row],[Climate Variables/Explainers]]</f>
        <v>EP - Marine Heat Waves</v>
      </c>
      <c r="F95" s="22" t="str">
        <f>"E2050 - " &amp;RiskStatements[[#This Row],[Climate Variables/Explainers]]</f>
        <v>E2050 - Marine Heat Waves</v>
      </c>
      <c r="G95" s="22" t="str">
        <f>"E2100 - " &amp;RiskStatements[[#This Row],[Climate Variables/Explainers]]</f>
        <v>E2100 - Marine Heat Waves</v>
      </c>
      <c r="H95" s="22" t="str" cm="1">
        <f t="array" ref="H95">_xlfn.XLOOKUP(RiskStatements[[#This Row],[Elements at Risk]],Final_VEValues[Elements at Risk],_xlfn.XLOOKUP(RiskStatements[[#This Row],[Vulnerability Header]],Final_VEValues[#Headers],Final_VEValues[]))</f>
        <v>N/A</v>
      </c>
      <c r="I95" s="22" t="str" cm="1">
        <f t="array" ref="I95">_xlfn.XLOOKUP(RiskStatements[[#This Row],[Elements at Risk]],Final_VEValues[Elements at Risk],_xlfn.XLOOKUP(RiskStatements[[#This Row],[Exposure Present Header]],Final_VEValues[#Headers],Final_VEValues[]))</f>
        <v>N/A</v>
      </c>
      <c r="J95" s="22" t="str" cm="1">
        <f t="array" ref="J95">_xlfn.XLOOKUP(RiskStatements[[#This Row],[Elements at Risk]],Final_VEValues[Elements at Risk],_xlfn.XLOOKUP(RiskStatements[[#This Row],[Exposure 2050 Header]],Final_VEValues[#Headers],Final_VEValues[]))</f>
        <v>N/A</v>
      </c>
      <c r="K95" s="22" t="str" cm="1">
        <f t="array" ref="K95">_xlfn.XLOOKUP(RiskStatements[[#This Row],[Elements at Risk]],Final_VEValues[Elements at Risk],_xlfn.XLOOKUP(RiskStatements[[#This Row],[Exposure 2100 Header]],Final_VEValues[#Headers],Final_VEValues[]))</f>
        <v>N/A</v>
      </c>
      <c r="L95" s="22" t="str">
        <f>_xlfn.CONCAT(RiskStatements[[#This Row],[Climate Variables/Explainers]]," risk to ",RiskStatements[[#This Row],[Elements at Risk]])</f>
        <v>Marine Heat Waves risk to Terrestrial Ecosystems</v>
      </c>
      <c r="M95" s="22" t="str" cm="1">
        <f t="array" ref="M95">_xlfn.XLOOKUP(RiskStatements[[#This Row],[Vulnerability Rating]],VEMatrix[Vulnerability],_xlfn.XLOOKUP(RiskStatements[[#This Row],[Exposure Rating - Present]],VEMatrix[#Headers],VEMatrix[]))</f>
        <v>N/A</v>
      </c>
      <c r="N95" s="22" t="str" cm="1">
        <f t="array" ref="N95">_xlfn.XLOOKUP(RiskStatements[[#This Row],[Vulnerability Rating]],VEMatrix[Vulnerability],_xlfn.XLOOKUP(RiskStatements[[#This Row],[Exposure Rating - 2050]],VEMatrix[#Headers],VEMatrix[]))</f>
        <v>N/A</v>
      </c>
      <c r="O95" s="22" t="str" cm="1">
        <f t="array" ref="O95">_xlfn.XLOOKUP(RiskStatements[[#This Row],[Vulnerability Rating]],VEMatrix[Vulnerability],_xlfn.XLOOKUP(RiskStatements[[#This Row],[Exposure Rating - 2100]],VEMatrix[#Headers],VEMatrix[]))</f>
        <v>N/A</v>
      </c>
      <c r="P95" s="22">
        <f>_xlfn.XLOOKUP(RiskStatements[[#This Row],[Risk Rating - Present]],RatingOrder[Rating Order],RatingOrder[Rating Score],0,0)</f>
        <v>0</v>
      </c>
      <c r="Q95" s="22">
        <f>_xlfn.XLOOKUP(RiskStatements[[#This Row],[Risk Rating - 2050]],RatingOrder[Rating Order],RatingOrder[Rating Score],0,0)</f>
        <v>0</v>
      </c>
      <c r="R95" s="22">
        <f>_xlfn.XLOOKUP(RiskStatements[[#This Row],[Risk Rating - 2100]],RatingOrder[Rating Order],RatingOrder[Rating Score],0,0)</f>
        <v>0</v>
      </c>
      <c r="S9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96" spans="1:19" hidden="1" x14ac:dyDescent="0.35">
      <c r="A96" s="22" t="s">
        <v>111</v>
      </c>
      <c r="B96" s="22" t="s">
        <v>119</v>
      </c>
      <c r="C96" s="22" t="s">
        <v>457</v>
      </c>
      <c r="D96" s="22" t="str">
        <f>"V - " &amp;RiskStatements[[#This Row],[Climate Variables/Explainers]]</f>
        <v>V - Marine Heat Waves</v>
      </c>
      <c r="E96" s="22" t="str">
        <f>"EP - " &amp;RiskStatements[[#This Row],[Climate Variables/Explainers]]</f>
        <v>EP - Marine Heat Waves</v>
      </c>
      <c r="F96" s="22" t="str">
        <f>"E2050 - " &amp;RiskStatements[[#This Row],[Climate Variables/Explainers]]</f>
        <v>E2050 - Marine Heat Waves</v>
      </c>
      <c r="G96" s="22" t="str">
        <f>"E2100 - " &amp;RiskStatements[[#This Row],[Climate Variables/Explainers]]</f>
        <v>E2100 - Marine Heat Waves</v>
      </c>
      <c r="H96" s="22" t="str" cm="1">
        <f t="array" ref="H96">_xlfn.XLOOKUP(RiskStatements[[#This Row],[Elements at Risk]],Final_VEValues[Elements at Risk],_xlfn.XLOOKUP(RiskStatements[[#This Row],[Vulnerability Header]],Final_VEValues[#Headers],Final_VEValues[]))</f>
        <v>N/A</v>
      </c>
      <c r="I96" s="22" t="str" cm="1">
        <f t="array" ref="I96">_xlfn.XLOOKUP(RiskStatements[[#This Row],[Elements at Risk]],Final_VEValues[Elements at Risk],_xlfn.XLOOKUP(RiskStatements[[#This Row],[Exposure Present Header]],Final_VEValues[#Headers],Final_VEValues[]))</f>
        <v>N/A</v>
      </c>
      <c r="J96" s="22" t="str" cm="1">
        <f t="array" ref="J96">_xlfn.XLOOKUP(RiskStatements[[#This Row],[Elements at Risk]],Final_VEValues[Elements at Risk],_xlfn.XLOOKUP(RiskStatements[[#This Row],[Exposure 2050 Header]],Final_VEValues[#Headers],Final_VEValues[]))</f>
        <v>N/A</v>
      </c>
      <c r="K96" s="22" t="str" cm="1">
        <f t="array" ref="K96">_xlfn.XLOOKUP(RiskStatements[[#This Row],[Elements at Risk]],Final_VEValues[Elements at Risk],_xlfn.XLOOKUP(RiskStatements[[#This Row],[Exposure 2100 Header]],Final_VEValues[#Headers],Final_VEValues[]))</f>
        <v>N/A</v>
      </c>
      <c r="L96" s="22" t="str">
        <f>_xlfn.CONCAT(RiskStatements[[#This Row],[Climate Variables/Explainers]]," risk to ",RiskStatements[[#This Row],[Elements at Risk]])</f>
        <v>Marine Heat Waves risk to Freshwater Ecosystems</v>
      </c>
      <c r="M96" s="22" t="str" cm="1">
        <f t="array" ref="M96">_xlfn.XLOOKUP(RiskStatements[[#This Row],[Vulnerability Rating]],VEMatrix[Vulnerability],_xlfn.XLOOKUP(RiskStatements[[#This Row],[Exposure Rating - Present]],VEMatrix[#Headers],VEMatrix[]))</f>
        <v>N/A</v>
      </c>
      <c r="N96" s="22" t="str" cm="1">
        <f t="array" ref="N96">_xlfn.XLOOKUP(RiskStatements[[#This Row],[Vulnerability Rating]],VEMatrix[Vulnerability],_xlfn.XLOOKUP(RiskStatements[[#This Row],[Exposure Rating - 2050]],VEMatrix[#Headers],VEMatrix[]))</f>
        <v>N/A</v>
      </c>
      <c r="O96" s="22" t="str" cm="1">
        <f t="array" ref="O96">_xlfn.XLOOKUP(RiskStatements[[#This Row],[Vulnerability Rating]],VEMatrix[Vulnerability],_xlfn.XLOOKUP(RiskStatements[[#This Row],[Exposure Rating - 2100]],VEMatrix[#Headers],VEMatrix[]))</f>
        <v>N/A</v>
      </c>
      <c r="P96" s="22">
        <f>_xlfn.XLOOKUP(RiskStatements[[#This Row],[Risk Rating - Present]],RatingOrder[Rating Order],RatingOrder[Rating Score],0,0)</f>
        <v>0</v>
      </c>
      <c r="Q96" s="22">
        <f>_xlfn.XLOOKUP(RiskStatements[[#This Row],[Risk Rating - 2050]],RatingOrder[Rating Order],RatingOrder[Rating Score],0,0)</f>
        <v>0</v>
      </c>
      <c r="R96" s="22">
        <f>_xlfn.XLOOKUP(RiskStatements[[#This Row],[Risk Rating - 2100]],RatingOrder[Rating Order],RatingOrder[Rating Score],0,0)</f>
        <v>0</v>
      </c>
      <c r="S9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97" spans="1:19" hidden="1" x14ac:dyDescent="0.35">
      <c r="A97" s="22" t="s">
        <v>120</v>
      </c>
      <c r="B97" s="22" t="s">
        <v>210</v>
      </c>
      <c r="C97" s="22" t="s">
        <v>457</v>
      </c>
      <c r="D97" s="22" t="str">
        <f>"V - " &amp;RiskStatements[[#This Row],[Climate Variables/Explainers]]</f>
        <v>V - Marine Heat Waves</v>
      </c>
      <c r="E97" s="22" t="str">
        <f>"EP - " &amp;RiskStatements[[#This Row],[Climate Variables/Explainers]]</f>
        <v>EP - Marine Heat Waves</v>
      </c>
      <c r="F97" s="22" t="str">
        <f>"E2050 - " &amp;RiskStatements[[#This Row],[Climate Variables/Explainers]]</f>
        <v>E2050 - Marine Heat Waves</v>
      </c>
      <c r="G97" s="22" t="str">
        <f>"E2100 - " &amp;RiskStatements[[#This Row],[Climate Variables/Explainers]]</f>
        <v>E2100 - Marine Heat Waves</v>
      </c>
      <c r="H97" s="22" t="str" cm="1">
        <f t="array" ref="H97">_xlfn.XLOOKUP(RiskStatements[[#This Row],[Elements at Risk]],Final_VEValues[Elements at Risk],_xlfn.XLOOKUP(RiskStatements[[#This Row],[Vulnerability Header]],Final_VEValues[#Headers],Final_VEValues[]))</f>
        <v>N/A</v>
      </c>
      <c r="I97" s="22" t="str" cm="1">
        <f t="array" ref="I97">_xlfn.XLOOKUP(RiskStatements[[#This Row],[Elements at Risk]],Final_VEValues[Elements at Risk],_xlfn.XLOOKUP(RiskStatements[[#This Row],[Exposure Present Header]],Final_VEValues[#Headers],Final_VEValues[]))</f>
        <v>N/A</v>
      </c>
      <c r="J97" s="22" t="str" cm="1">
        <f t="array" ref="J97">_xlfn.XLOOKUP(RiskStatements[[#This Row],[Elements at Risk]],Final_VEValues[Elements at Risk],_xlfn.XLOOKUP(RiskStatements[[#This Row],[Exposure 2050 Header]],Final_VEValues[#Headers],Final_VEValues[]))</f>
        <v>N/A</v>
      </c>
      <c r="K97" s="22" t="str" cm="1">
        <f t="array" ref="K97">_xlfn.XLOOKUP(RiskStatements[[#This Row],[Elements at Risk]],Final_VEValues[Elements at Risk],_xlfn.XLOOKUP(RiskStatements[[#This Row],[Exposure 2100 Header]],Final_VEValues[#Headers],Final_VEValues[]))</f>
        <v>N/A</v>
      </c>
      <c r="L97" s="22" t="str">
        <f>_xlfn.CONCAT(RiskStatements[[#This Row],[Climate Variables/Explainers]]," risk to ",RiskStatements[[#This Row],[Elements at Risk]])</f>
        <v>Marine Heat Waves risk to Inhabited Buildings</v>
      </c>
      <c r="M97" s="22" t="str" cm="1">
        <f t="array" ref="M97">_xlfn.XLOOKUP(RiskStatements[[#This Row],[Vulnerability Rating]],VEMatrix[Vulnerability],_xlfn.XLOOKUP(RiskStatements[[#This Row],[Exposure Rating - Present]],VEMatrix[#Headers],VEMatrix[]))</f>
        <v>N/A</v>
      </c>
      <c r="N97" s="22" t="str" cm="1">
        <f t="array" ref="N97">_xlfn.XLOOKUP(RiskStatements[[#This Row],[Vulnerability Rating]],VEMatrix[Vulnerability],_xlfn.XLOOKUP(RiskStatements[[#This Row],[Exposure Rating - 2050]],VEMatrix[#Headers],VEMatrix[]))</f>
        <v>N/A</v>
      </c>
      <c r="O97" s="22" t="str" cm="1">
        <f t="array" ref="O97">_xlfn.XLOOKUP(RiskStatements[[#This Row],[Vulnerability Rating]],VEMatrix[Vulnerability],_xlfn.XLOOKUP(RiskStatements[[#This Row],[Exposure Rating - 2100]],VEMatrix[#Headers],VEMatrix[]))</f>
        <v>N/A</v>
      </c>
      <c r="P97" s="22">
        <f>_xlfn.XLOOKUP(RiskStatements[[#This Row],[Risk Rating - Present]],RatingOrder[Rating Order],RatingOrder[Rating Score],0,0)</f>
        <v>0</v>
      </c>
      <c r="Q97" s="22">
        <f>_xlfn.XLOOKUP(RiskStatements[[#This Row],[Risk Rating - 2050]],RatingOrder[Rating Order],RatingOrder[Rating Score],0,0)</f>
        <v>0</v>
      </c>
      <c r="R97" s="22">
        <f>_xlfn.XLOOKUP(RiskStatements[[#This Row],[Risk Rating - 2100]],RatingOrder[Rating Order],RatingOrder[Rating Score],0,0)</f>
        <v>0</v>
      </c>
      <c r="S9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98" spans="1:19" hidden="1" x14ac:dyDescent="0.35">
      <c r="A98" s="22" t="s">
        <v>120</v>
      </c>
      <c r="B98" s="22" t="s">
        <v>218</v>
      </c>
      <c r="C98" s="22" t="s">
        <v>457</v>
      </c>
      <c r="D98" s="22" t="str">
        <f>"V - " &amp;RiskStatements[[#This Row],[Climate Variables/Explainers]]</f>
        <v>V - Marine Heat Waves</v>
      </c>
      <c r="E98" s="22" t="str">
        <f>"EP - " &amp;RiskStatements[[#This Row],[Climate Variables/Explainers]]</f>
        <v>EP - Marine Heat Waves</v>
      </c>
      <c r="F98" s="22" t="str">
        <f>"E2050 - " &amp;RiskStatements[[#This Row],[Climate Variables/Explainers]]</f>
        <v>E2050 - Marine Heat Waves</v>
      </c>
      <c r="G98" s="22" t="str">
        <f>"E2100 - " &amp;RiskStatements[[#This Row],[Climate Variables/Explainers]]</f>
        <v>E2100 - Marine Heat Waves</v>
      </c>
      <c r="H98" s="22" t="str" cm="1">
        <f t="array" ref="H98">_xlfn.XLOOKUP(RiskStatements[[#This Row],[Elements at Risk]],Final_VEValues[Elements at Risk],_xlfn.XLOOKUP(RiskStatements[[#This Row],[Vulnerability Header]],Final_VEValues[#Headers],Final_VEValues[]))</f>
        <v>N/A</v>
      </c>
      <c r="I98" s="22" t="str" cm="1">
        <f t="array" ref="I98">_xlfn.XLOOKUP(RiskStatements[[#This Row],[Elements at Risk]],Final_VEValues[Elements at Risk],_xlfn.XLOOKUP(RiskStatements[[#This Row],[Exposure Present Header]],Final_VEValues[#Headers],Final_VEValues[]))</f>
        <v>N/A</v>
      </c>
      <c r="J98" s="22" t="str" cm="1">
        <f t="array" ref="J98">_xlfn.XLOOKUP(RiskStatements[[#This Row],[Elements at Risk]],Final_VEValues[Elements at Risk],_xlfn.XLOOKUP(RiskStatements[[#This Row],[Exposure 2050 Header]],Final_VEValues[#Headers],Final_VEValues[]))</f>
        <v>N/A</v>
      </c>
      <c r="K98" s="22" t="str" cm="1">
        <f t="array" ref="K98">_xlfn.XLOOKUP(RiskStatements[[#This Row],[Elements at Risk]],Final_VEValues[Elements at Risk],_xlfn.XLOOKUP(RiskStatements[[#This Row],[Exposure 2100 Header]],Final_VEValues[#Headers],Final_VEValues[]))</f>
        <v>N/A</v>
      </c>
      <c r="L98" s="22" t="str">
        <f>_xlfn.CONCAT(RiskStatements[[#This Row],[Climate Variables/Explainers]]," risk to ",RiskStatements[[#This Row],[Elements at Risk]])</f>
        <v>Marine Heat Waves risk to Ports / Wharves</v>
      </c>
      <c r="M98" s="22" t="str" cm="1">
        <f t="array" ref="M98">_xlfn.XLOOKUP(RiskStatements[[#This Row],[Vulnerability Rating]],VEMatrix[Vulnerability],_xlfn.XLOOKUP(RiskStatements[[#This Row],[Exposure Rating - Present]],VEMatrix[#Headers],VEMatrix[]))</f>
        <v>N/A</v>
      </c>
      <c r="N98" s="22" t="str" cm="1">
        <f t="array" ref="N98">_xlfn.XLOOKUP(RiskStatements[[#This Row],[Vulnerability Rating]],VEMatrix[Vulnerability],_xlfn.XLOOKUP(RiskStatements[[#This Row],[Exposure Rating - 2050]],VEMatrix[#Headers],VEMatrix[]))</f>
        <v>N/A</v>
      </c>
      <c r="O98" s="22" t="str" cm="1">
        <f t="array" ref="O98">_xlfn.XLOOKUP(RiskStatements[[#This Row],[Vulnerability Rating]],VEMatrix[Vulnerability],_xlfn.XLOOKUP(RiskStatements[[#This Row],[Exposure Rating - 2100]],VEMatrix[#Headers],VEMatrix[]))</f>
        <v>N/A</v>
      </c>
      <c r="P98" s="22">
        <f>_xlfn.XLOOKUP(RiskStatements[[#This Row],[Risk Rating - Present]],RatingOrder[Rating Order],RatingOrder[Rating Score],0,0)</f>
        <v>0</v>
      </c>
      <c r="Q98" s="22">
        <f>_xlfn.XLOOKUP(RiskStatements[[#This Row],[Risk Rating - 2050]],RatingOrder[Rating Order],RatingOrder[Rating Score],0,0)</f>
        <v>0</v>
      </c>
      <c r="R98" s="22">
        <f>_xlfn.XLOOKUP(RiskStatements[[#This Row],[Risk Rating - 2100]],RatingOrder[Rating Order],RatingOrder[Rating Score],0,0)</f>
        <v>0</v>
      </c>
      <c r="S9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99" spans="1:19" hidden="1" x14ac:dyDescent="0.35">
      <c r="A99" s="22" t="s">
        <v>120</v>
      </c>
      <c r="B99" s="22" t="s">
        <v>220</v>
      </c>
      <c r="C99" s="22" t="s">
        <v>457</v>
      </c>
      <c r="D99" s="22" t="str">
        <f>"V - " &amp;RiskStatements[[#This Row],[Climate Variables/Explainers]]</f>
        <v>V - Marine Heat Waves</v>
      </c>
      <c r="E99" s="22" t="str">
        <f>"EP - " &amp;RiskStatements[[#This Row],[Climate Variables/Explainers]]</f>
        <v>EP - Marine Heat Waves</v>
      </c>
      <c r="F99" s="22" t="str">
        <f>"E2050 - " &amp;RiskStatements[[#This Row],[Climate Variables/Explainers]]</f>
        <v>E2050 - Marine Heat Waves</v>
      </c>
      <c r="G99" s="22" t="str">
        <f>"E2100 - " &amp;RiskStatements[[#This Row],[Climate Variables/Explainers]]</f>
        <v>E2100 - Marine Heat Waves</v>
      </c>
      <c r="H99" s="22" t="str" cm="1">
        <f t="array" ref="H99">_xlfn.XLOOKUP(RiskStatements[[#This Row],[Elements at Risk]],Final_VEValues[Elements at Risk],_xlfn.XLOOKUP(RiskStatements[[#This Row],[Vulnerability Header]],Final_VEValues[#Headers],Final_VEValues[]))</f>
        <v>N/A</v>
      </c>
      <c r="I99" s="22" t="str" cm="1">
        <f t="array" ref="I99">_xlfn.XLOOKUP(RiskStatements[[#This Row],[Elements at Risk]],Final_VEValues[Elements at Risk],_xlfn.XLOOKUP(RiskStatements[[#This Row],[Exposure Present Header]],Final_VEValues[#Headers],Final_VEValues[]))</f>
        <v>N/A</v>
      </c>
      <c r="J99" s="22" t="str" cm="1">
        <f t="array" ref="J99">_xlfn.XLOOKUP(RiskStatements[[#This Row],[Elements at Risk]],Final_VEValues[Elements at Risk],_xlfn.XLOOKUP(RiskStatements[[#This Row],[Exposure 2050 Header]],Final_VEValues[#Headers],Final_VEValues[]))</f>
        <v>N/A</v>
      </c>
      <c r="K99" s="22" t="str" cm="1">
        <f t="array" ref="K99">_xlfn.XLOOKUP(RiskStatements[[#This Row],[Elements at Risk]],Final_VEValues[Elements at Risk],_xlfn.XLOOKUP(RiskStatements[[#This Row],[Exposure 2100 Header]],Final_VEValues[#Headers],Final_VEValues[]))</f>
        <v>N/A</v>
      </c>
      <c r="L99" s="22" t="str">
        <f>_xlfn.CONCAT(RiskStatements[[#This Row],[Climate Variables/Explainers]]," risk to ",RiskStatements[[#This Row],[Elements at Risk]])</f>
        <v>Marine Heat Waves risk to Airports / Airfields</v>
      </c>
      <c r="M99" s="22" t="str" cm="1">
        <f t="array" ref="M99">_xlfn.XLOOKUP(RiskStatements[[#This Row],[Vulnerability Rating]],VEMatrix[Vulnerability],_xlfn.XLOOKUP(RiskStatements[[#This Row],[Exposure Rating - Present]],VEMatrix[#Headers],VEMatrix[]))</f>
        <v>N/A</v>
      </c>
      <c r="N99" s="22" t="str" cm="1">
        <f t="array" ref="N99">_xlfn.XLOOKUP(RiskStatements[[#This Row],[Vulnerability Rating]],VEMatrix[Vulnerability],_xlfn.XLOOKUP(RiskStatements[[#This Row],[Exposure Rating - 2050]],VEMatrix[#Headers],VEMatrix[]))</f>
        <v>N/A</v>
      </c>
      <c r="O99" s="22" t="str" cm="1">
        <f t="array" ref="O99">_xlfn.XLOOKUP(RiskStatements[[#This Row],[Vulnerability Rating]],VEMatrix[Vulnerability],_xlfn.XLOOKUP(RiskStatements[[#This Row],[Exposure Rating - 2100]],VEMatrix[#Headers],VEMatrix[]))</f>
        <v>N/A</v>
      </c>
      <c r="P99" s="22">
        <f>_xlfn.XLOOKUP(RiskStatements[[#This Row],[Risk Rating - Present]],RatingOrder[Rating Order],RatingOrder[Rating Score],0,0)</f>
        <v>0</v>
      </c>
      <c r="Q99" s="22">
        <f>_xlfn.XLOOKUP(RiskStatements[[#This Row],[Risk Rating - 2050]],RatingOrder[Rating Order],RatingOrder[Rating Score],0,0)</f>
        <v>0</v>
      </c>
      <c r="R99" s="22">
        <f>_xlfn.XLOOKUP(RiskStatements[[#This Row],[Risk Rating - 2100]],RatingOrder[Rating Order],RatingOrder[Rating Score],0,0)</f>
        <v>0</v>
      </c>
      <c r="S9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00" spans="1:19" hidden="1" x14ac:dyDescent="0.35">
      <c r="A100" s="22" t="s">
        <v>120</v>
      </c>
      <c r="B100" s="22" t="s">
        <v>67</v>
      </c>
      <c r="C100" s="22" t="s">
        <v>457</v>
      </c>
      <c r="D100" s="22" t="str">
        <f>"V - " &amp;RiskStatements[[#This Row],[Climate Variables/Explainers]]</f>
        <v>V - Marine Heat Waves</v>
      </c>
      <c r="E100" s="22" t="str">
        <f>"EP - " &amp;RiskStatements[[#This Row],[Climate Variables/Explainers]]</f>
        <v>EP - Marine Heat Waves</v>
      </c>
      <c r="F100" s="22" t="str">
        <f>"E2050 - " &amp;RiskStatements[[#This Row],[Climate Variables/Explainers]]</f>
        <v>E2050 - Marine Heat Waves</v>
      </c>
      <c r="G100" s="22" t="str">
        <f>"E2100 - " &amp;RiskStatements[[#This Row],[Climate Variables/Explainers]]</f>
        <v>E2100 - Marine Heat Waves</v>
      </c>
      <c r="H100" s="22" t="str" cm="1">
        <f t="array" ref="H100">_xlfn.XLOOKUP(RiskStatements[[#This Row],[Elements at Risk]],Final_VEValues[Elements at Risk],_xlfn.XLOOKUP(RiskStatements[[#This Row],[Vulnerability Header]],Final_VEValues[#Headers],Final_VEValues[]))</f>
        <v>N/A</v>
      </c>
      <c r="I100" s="22" t="str" cm="1">
        <f t="array" ref="I100">_xlfn.XLOOKUP(RiskStatements[[#This Row],[Elements at Risk]],Final_VEValues[Elements at Risk],_xlfn.XLOOKUP(RiskStatements[[#This Row],[Exposure Present Header]],Final_VEValues[#Headers],Final_VEValues[]))</f>
        <v>N/A</v>
      </c>
      <c r="J100" s="22" t="str" cm="1">
        <f t="array" ref="J100">_xlfn.XLOOKUP(RiskStatements[[#This Row],[Elements at Risk]],Final_VEValues[Elements at Risk],_xlfn.XLOOKUP(RiskStatements[[#This Row],[Exposure 2050 Header]],Final_VEValues[#Headers],Final_VEValues[]))</f>
        <v>N/A</v>
      </c>
      <c r="K100" s="22" t="str" cm="1">
        <f t="array" ref="K100">_xlfn.XLOOKUP(RiskStatements[[#This Row],[Elements at Risk]],Final_VEValues[Elements at Risk],_xlfn.XLOOKUP(RiskStatements[[#This Row],[Exposure 2100 Header]],Final_VEValues[#Headers],Final_VEValues[]))</f>
        <v>N/A</v>
      </c>
      <c r="L100" s="22" t="str">
        <f>_xlfn.CONCAT(RiskStatements[[#This Row],[Climate Variables/Explainers]]," risk to ",RiskStatements[[#This Row],[Elements at Risk]])</f>
        <v>Marine Heat Waves risk to Telecommunications</v>
      </c>
      <c r="M100" s="22" t="str" cm="1">
        <f t="array" ref="M100">_xlfn.XLOOKUP(RiskStatements[[#This Row],[Vulnerability Rating]],VEMatrix[Vulnerability],_xlfn.XLOOKUP(RiskStatements[[#This Row],[Exposure Rating - Present]],VEMatrix[#Headers],VEMatrix[]))</f>
        <v>N/A</v>
      </c>
      <c r="N100" s="22" t="str" cm="1">
        <f t="array" ref="N100">_xlfn.XLOOKUP(RiskStatements[[#This Row],[Vulnerability Rating]],VEMatrix[Vulnerability],_xlfn.XLOOKUP(RiskStatements[[#This Row],[Exposure Rating - 2050]],VEMatrix[#Headers],VEMatrix[]))</f>
        <v>N/A</v>
      </c>
      <c r="O100" s="22" t="str" cm="1">
        <f t="array" ref="O100">_xlfn.XLOOKUP(RiskStatements[[#This Row],[Vulnerability Rating]],VEMatrix[Vulnerability],_xlfn.XLOOKUP(RiskStatements[[#This Row],[Exposure Rating - 2100]],VEMatrix[#Headers],VEMatrix[]))</f>
        <v>N/A</v>
      </c>
      <c r="P100" s="22">
        <f>_xlfn.XLOOKUP(RiskStatements[[#This Row],[Risk Rating - Present]],RatingOrder[Rating Order],RatingOrder[Rating Score],0,0)</f>
        <v>0</v>
      </c>
      <c r="Q100" s="22">
        <f>_xlfn.XLOOKUP(RiskStatements[[#This Row],[Risk Rating - 2050]],RatingOrder[Rating Order],RatingOrder[Rating Score],0,0)</f>
        <v>0</v>
      </c>
      <c r="R100" s="22">
        <f>_xlfn.XLOOKUP(RiskStatements[[#This Row],[Risk Rating - 2100]],RatingOrder[Rating Order],RatingOrder[Rating Score],0,0)</f>
        <v>0</v>
      </c>
      <c r="S10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01" spans="1:19" hidden="1" x14ac:dyDescent="0.35">
      <c r="A101" s="22" t="s">
        <v>120</v>
      </c>
      <c r="B101" s="22" t="s">
        <v>121</v>
      </c>
      <c r="C101" s="22" t="s">
        <v>457</v>
      </c>
      <c r="D101" s="22" t="str">
        <f>"V - " &amp;RiskStatements[[#This Row],[Climate Variables/Explainers]]</f>
        <v>V - Marine Heat Waves</v>
      </c>
      <c r="E101" s="22" t="str">
        <f>"EP - " &amp;RiskStatements[[#This Row],[Climate Variables/Explainers]]</f>
        <v>EP - Marine Heat Waves</v>
      </c>
      <c r="F101" s="22" t="str">
        <f>"E2050 - " &amp;RiskStatements[[#This Row],[Climate Variables/Explainers]]</f>
        <v>E2050 - Marine Heat Waves</v>
      </c>
      <c r="G101" s="22" t="str">
        <f>"E2100 - " &amp;RiskStatements[[#This Row],[Climate Variables/Explainers]]</f>
        <v>E2100 - Marine Heat Waves</v>
      </c>
      <c r="H101" s="22" t="str" cm="1">
        <f t="array" ref="H101">_xlfn.XLOOKUP(RiskStatements[[#This Row],[Elements at Risk]],Final_VEValues[Elements at Risk],_xlfn.XLOOKUP(RiskStatements[[#This Row],[Vulnerability Header]],Final_VEValues[#Headers],Final_VEValues[]))</f>
        <v>N/A</v>
      </c>
      <c r="I101" s="22" t="str" cm="1">
        <f t="array" ref="I101">_xlfn.XLOOKUP(RiskStatements[[#This Row],[Elements at Risk]],Final_VEValues[Elements at Risk],_xlfn.XLOOKUP(RiskStatements[[#This Row],[Exposure Present Header]],Final_VEValues[#Headers],Final_VEValues[]))</f>
        <v>N/A</v>
      </c>
      <c r="J101" s="22" t="str" cm="1">
        <f t="array" ref="J101">_xlfn.XLOOKUP(RiskStatements[[#This Row],[Elements at Risk]],Final_VEValues[Elements at Risk],_xlfn.XLOOKUP(RiskStatements[[#This Row],[Exposure 2050 Header]],Final_VEValues[#Headers],Final_VEValues[]))</f>
        <v>N/A</v>
      </c>
      <c r="K101" s="22" t="str" cm="1">
        <f t="array" ref="K101">_xlfn.XLOOKUP(RiskStatements[[#This Row],[Elements at Risk]],Final_VEValues[Elements at Risk],_xlfn.XLOOKUP(RiskStatements[[#This Row],[Exposure 2100 Header]],Final_VEValues[#Headers],Final_VEValues[]))</f>
        <v>N/A</v>
      </c>
      <c r="L101" s="22" t="str">
        <f>_xlfn.CONCAT(RiskStatements[[#This Row],[Climate Variables/Explainers]]," risk to ",RiskStatements[[#This Row],[Elements at Risk]])</f>
        <v>Marine Heat Waves risk to Electricity</v>
      </c>
      <c r="M101" s="22" t="str" cm="1">
        <f t="array" ref="M101">_xlfn.XLOOKUP(RiskStatements[[#This Row],[Vulnerability Rating]],VEMatrix[Vulnerability],_xlfn.XLOOKUP(RiskStatements[[#This Row],[Exposure Rating - Present]],VEMatrix[#Headers],VEMatrix[]))</f>
        <v>N/A</v>
      </c>
      <c r="N101" s="22" t="str" cm="1">
        <f t="array" ref="N101">_xlfn.XLOOKUP(RiskStatements[[#This Row],[Vulnerability Rating]],VEMatrix[Vulnerability],_xlfn.XLOOKUP(RiskStatements[[#This Row],[Exposure Rating - 2050]],VEMatrix[#Headers],VEMatrix[]))</f>
        <v>N/A</v>
      </c>
      <c r="O101" s="22" t="str" cm="1">
        <f t="array" ref="O101">_xlfn.XLOOKUP(RiskStatements[[#This Row],[Vulnerability Rating]],VEMatrix[Vulnerability],_xlfn.XLOOKUP(RiskStatements[[#This Row],[Exposure Rating - 2100]],VEMatrix[#Headers],VEMatrix[]))</f>
        <v>N/A</v>
      </c>
      <c r="P101" s="22">
        <f>_xlfn.XLOOKUP(RiskStatements[[#This Row],[Risk Rating - Present]],RatingOrder[Rating Order],RatingOrder[Rating Score],0,0)</f>
        <v>0</v>
      </c>
      <c r="Q101" s="22">
        <f>_xlfn.XLOOKUP(RiskStatements[[#This Row],[Risk Rating - 2050]],RatingOrder[Rating Order],RatingOrder[Rating Score],0,0)</f>
        <v>0</v>
      </c>
      <c r="R101" s="22">
        <f>_xlfn.XLOOKUP(RiskStatements[[#This Row],[Risk Rating - 2100]],RatingOrder[Rating Order],RatingOrder[Rating Score],0,0)</f>
        <v>0</v>
      </c>
      <c r="S10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02" spans="1:19" hidden="1" x14ac:dyDescent="0.35">
      <c r="A102" s="22" t="s">
        <v>120</v>
      </c>
      <c r="B102" s="22" t="s">
        <v>70</v>
      </c>
      <c r="C102" s="22" t="s">
        <v>457</v>
      </c>
      <c r="D102" s="22" t="str">
        <f>"V - " &amp;RiskStatements[[#This Row],[Climate Variables/Explainers]]</f>
        <v>V - Marine Heat Waves</v>
      </c>
      <c r="E102" s="22" t="str">
        <f>"EP - " &amp;RiskStatements[[#This Row],[Climate Variables/Explainers]]</f>
        <v>EP - Marine Heat Waves</v>
      </c>
      <c r="F102" s="22" t="str">
        <f>"E2050 - " &amp;RiskStatements[[#This Row],[Climate Variables/Explainers]]</f>
        <v>E2050 - Marine Heat Waves</v>
      </c>
      <c r="G102" s="22" t="str">
        <f>"E2100 - " &amp;RiskStatements[[#This Row],[Climate Variables/Explainers]]</f>
        <v>E2100 - Marine Heat Waves</v>
      </c>
      <c r="H102" s="22" t="str" cm="1">
        <f t="array" ref="H102">_xlfn.XLOOKUP(RiskStatements[[#This Row],[Elements at Risk]],Final_VEValues[Elements at Risk],_xlfn.XLOOKUP(RiskStatements[[#This Row],[Vulnerability Header]],Final_VEValues[#Headers],Final_VEValues[]))</f>
        <v>N/A</v>
      </c>
      <c r="I102" s="22" t="str" cm="1">
        <f t="array" ref="I102">_xlfn.XLOOKUP(RiskStatements[[#This Row],[Elements at Risk]],Final_VEValues[Elements at Risk],_xlfn.XLOOKUP(RiskStatements[[#This Row],[Exposure Present Header]],Final_VEValues[#Headers],Final_VEValues[]))</f>
        <v>N/A</v>
      </c>
      <c r="J102" s="22" t="str" cm="1">
        <f t="array" ref="J102">_xlfn.XLOOKUP(RiskStatements[[#This Row],[Elements at Risk]],Final_VEValues[Elements at Risk],_xlfn.XLOOKUP(RiskStatements[[#This Row],[Exposure 2050 Header]],Final_VEValues[#Headers],Final_VEValues[]))</f>
        <v>N/A</v>
      </c>
      <c r="K102" s="22" t="str" cm="1">
        <f t="array" ref="K102">_xlfn.XLOOKUP(RiskStatements[[#This Row],[Elements at Risk]],Final_VEValues[Elements at Risk],_xlfn.XLOOKUP(RiskStatements[[#This Row],[Exposure 2100 Header]],Final_VEValues[#Headers],Final_VEValues[]))</f>
        <v>N/A</v>
      </c>
      <c r="L102" s="22" t="str">
        <f>_xlfn.CONCAT(RiskStatements[[#This Row],[Climate Variables/Explainers]]," risk to ",RiskStatements[[#This Row],[Elements at Risk]])</f>
        <v>Marine Heat Waves risk to Wastewater Infrastructure</v>
      </c>
      <c r="M102" s="22" t="str" cm="1">
        <f t="array" ref="M102">_xlfn.XLOOKUP(RiskStatements[[#This Row],[Vulnerability Rating]],VEMatrix[Vulnerability],_xlfn.XLOOKUP(RiskStatements[[#This Row],[Exposure Rating - Present]],VEMatrix[#Headers],VEMatrix[]))</f>
        <v>N/A</v>
      </c>
      <c r="N102" s="22" t="str" cm="1">
        <f t="array" ref="N102">_xlfn.XLOOKUP(RiskStatements[[#This Row],[Vulnerability Rating]],VEMatrix[Vulnerability],_xlfn.XLOOKUP(RiskStatements[[#This Row],[Exposure Rating - 2050]],VEMatrix[#Headers],VEMatrix[]))</f>
        <v>N/A</v>
      </c>
      <c r="O102" s="22" t="str" cm="1">
        <f t="array" ref="O102">_xlfn.XLOOKUP(RiskStatements[[#This Row],[Vulnerability Rating]],VEMatrix[Vulnerability],_xlfn.XLOOKUP(RiskStatements[[#This Row],[Exposure Rating - 2100]],VEMatrix[#Headers],VEMatrix[]))</f>
        <v>N/A</v>
      </c>
      <c r="P102" s="22">
        <f>_xlfn.XLOOKUP(RiskStatements[[#This Row],[Risk Rating - Present]],RatingOrder[Rating Order],RatingOrder[Rating Score],0,0)</f>
        <v>0</v>
      </c>
      <c r="Q102" s="22">
        <f>_xlfn.XLOOKUP(RiskStatements[[#This Row],[Risk Rating - 2050]],RatingOrder[Rating Order],RatingOrder[Rating Score],0,0)</f>
        <v>0</v>
      </c>
      <c r="R102" s="22">
        <f>_xlfn.XLOOKUP(RiskStatements[[#This Row],[Risk Rating - 2100]],RatingOrder[Rating Order],RatingOrder[Rating Score],0,0)</f>
        <v>0</v>
      </c>
      <c r="S10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03" spans="1:19" hidden="1" x14ac:dyDescent="0.35">
      <c r="A103" s="22" t="s">
        <v>120</v>
      </c>
      <c r="B103" s="22" t="s">
        <v>223</v>
      </c>
      <c r="C103" s="22" t="s">
        <v>457</v>
      </c>
      <c r="D103" s="22" t="str">
        <f>"V - " &amp;RiskStatements[[#This Row],[Climate Variables/Explainers]]</f>
        <v>V - Marine Heat Waves</v>
      </c>
      <c r="E103" s="22" t="str">
        <f>"EP - " &amp;RiskStatements[[#This Row],[Climate Variables/Explainers]]</f>
        <v>EP - Marine Heat Waves</v>
      </c>
      <c r="F103" s="22" t="str">
        <f>"E2050 - " &amp;RiskStatements[[#This Row],[Climate Variables/Explainers]]</f>
        <v>E2050 - Marine Heat Waves</v>
      </c>
      <c r="G103" s="22" t="str">
        <f>"E2100 - " &amp;RiskStatements[[#This Row],[Climate Variables/Explainers]]</f>
        <v>E2100 - Marine Heat Waves</v>
      </c>
      <c r="H103" s="22" t="str" cm="1">
        <f t="array" ref="H103">_xlfn.XLOOKUP(RiskStatements[[#This Row],[Elements at Risk]],Final_VEValues[Elements at Risk],_xlfn.XLOOKUP(RiskStatements[[#This Row],[Vulnerability Header]],Final_VEValues[#Headers],Final_VEValues[]))</f>
        <v>N/A</v>
      </c>
      <c r="I103" s="22" t="str" cm="1">
        <f t="array" ref="I103">_xlfn.XLOOKUP(RiskStatements[[#This Row],[Elements at Risk]],Final_VEValues[Elements at Risk],_xlfn.XLOOKUP(RiskStatements[[#This Row],[Exposure Present Header]],Final_VEValues[#Headers],Final_VEValues[]))</f>
        <v>N/A</v>
      </c>
      <c r="J103" s="22" t="str" cm="1">
        <f t="array" ref="J103">_xlfn.XLOOKUP(RiskStatements[[#This Row],[Elements at Risk]],Final_VEValues[Elements at Risk],_xlfn.XLOOKUP(RiskStatements[[#This Row],[Exposure 2050 Header]],Final_VEValues[#Headers],Final_VEValues[]))</f>
        <v>N/A</v>
      </c>
      <c r="K103" s="22" t="str" cm="1">
        <f t="array" ref="K103">_xlfn.XLOOKUP(RiskStatements[[#This Row],[Elements at Risk]],Final_VEValues[Elements at Risk],_xlfn.XLOOKUP(RiskStatements[[#This Row],[Exposure 2100 Header]],Final_VEValues[#Headers],Final_VEValues[]))</f>
        <v>N/A</v>
      </c>
      <c r="L103" s="22" t="str">
        <f>_xlfn.CONCAT(RiskStatements[[#This Row],[Climate Variables/Explainers]]," risk to ",RiskStatements[[#This Row],[Elements at Risk]])</f>
        <v>Marine Heat Waves risk to Transportation Assets</v>
      </c>
      <c r="M103" s="22" t="str" cm="1">
        <f t="array" ref="M103">_xlfn.XLOOKUP(RiskStatements[[#This Row],[Vulnerability Rating]],VEMatrix[Vulnerability],_xlfn.XLOOKUP(RiskStatements[[#This Row],[Exposure Rating - Present]],VEMatrix[#Headers],VEMatrix[]))</f>
        <v>N/A</v>
      </c>
      <c r="N103" s="22" t="str" cm="1">
        <f t="array" ref="N103">_xlfn.XLOOKUP(RiskStatements[[#This Row],[Vulnerability Rating]],VEMatrix[Vulnerability],_xlfn.XLOOKUP(RiskStatements[[#This Row],[Exposure Rating - 2050]],VEMatrix[#Headers],VEMatrix[]))</f>
        <v>N/A</v>
      </c>
      <c r="O103" s="22" t="str" cm="1">
        <f t="array" ref="O103">_xlfn.XLOOKUP(RiskStatements[[#This Row],[Vulnerability Rating]],VEMatrix[Vulnerability],_xlfn.XLOOKUP(RiskStatements[[#This Row],[Exposure Rating - 2100]],VEMatrix[#Headers],VEMatrix[]))</f>
        <v>N/A</v>
      </c>
      <c r="P103" s="22">
        <f>_xlfn.XLOOKUP(RiskStatements[[#This Row],[Risk Rating - Present]],RatingOrder[Rating Order],RatingOrder[Rating Score],0,0)</f>
        <v>0</v>
      </c>
      <c r="Q103" s="22">
        <f>_xlfn.XLOOKUP(RiskStatements[[#This Row],[Risk Rating - 2050]],RatingOrder[Rating Order],RatingOrder[Rating Score],0,0)</f>
        <v>0</v>
      </c>
      <c r="R103" s="22">
        <f>_xlfn.XLOOKUP(RiskStatements[[#This Row],[Risk Rating - 2100]],RatingOrder[Rating Order],RatingOrder[Rating Score],0,0)</f>
        <v>0</v>
      </c>
      <c r="S10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04" spans="1:19" hidden="1" x14ac:dyDescent="0.35">
      <c r="A104" s="22" t="s">
        <v>120</v>
      </c>
      <c r="B104" s="22" t="s">
        <v>122</v>
      </c>
      <c r="C104" s="22" t="s">
        <v>457</v>
      </c>
      <c r="D104" s="22" t="str">
        <f>"V - " &amp;RiskStatements[[#This Row],[Climate Variables/Explainers]]</f>
        <v>V - Marine Heat Waves</v>
      </c>
      <c r="E104" s="22" t="str">
        <f>"EP - " &amp;RiskStatements[[#This Row],[Climate Variables/Explainers]]</f>
        <v>EP - Marine Heat Waves</v>
      </c>
      <c r="F104" s="22" t="str">
        <f>"E2050 - " &amp;RiskStatements[[#This Row],[Climate Variables/Explainers]]</f>
        <v>E2050 - Marine Heat Waves</v>
      </c>
      <c r="G104" s="22" t="str">
        <f>"E2100 - " &amp;RiskStatements[[#This Row],[Climate Variables/Explainers]]</f>
        <v>E2100 - Marine Heat Waves</v>
      </c>
      <c r="H104" s="22" t="str" cm="1">
        <f t="array" ref="H104">_xlfn.XLOOKUP(RiskStatements[[#This Row],[Elements at Risk]],Final_VEValues[Elements at Risk],_xlfn.XLOOKUP(RiskStatements[[#This Row],[Vulnerability Header]],Final_VEValues[#Headers],Final_VEValues[]))</f>
        <v>N/A</v>
      </c>
      <c r="I104" s="22" t="str" cm="1">
        <f t="array" ref="I104">_xlfn.XLOOKUP(RiskStatements[[#This Row],[Elements at Risk]],Final_VEValues[Elements at Risk],_xlfn.XLOOKUP(RiskStatements[[#This Row],[Exposure Present Header]],Final_VEValues[#Headers],Final_VEValues[]))</f>
        <v>N/A</v>
      </c>
      <c r="J104" s="22" t="str" cm="1">
        <f t="array" ref="J104">_xlfn.XLOOKUP(RiskStatements[[#This Row],[Elements at Risk]],Final_VEValues[Elements at Risk],_xlfn.XLOOKUP(RiskStatements[[#This Row],[Exposure 2050 Header]],Final_VEValues[#Headers],Final_VEValues[]))</f>
        <v>N/A</v>
      </c>
      <c r="K104" s="22" t="str" cm="1">
        <f t="array" ref="K104">_xlfn.XLOOKUP(RiskStatements[[#This Row],[Elements at Risk]],Final_VEValues[Elements at Risk],_xlfn.XLOOKUP(RiskStatements[[#This Row],[Exposure 2100 Header]],Final_VEValues[#Headers],Final_VEValues[]))</f>
        <v>N/A</v>
      </c>
      <c r="L104" s="22" t="str">
        <f>_xlfn.CONCAT(RiskStatements[[#This Row],[Climate Variables/Explainers]]," risk to ",RiskStatements[[#This Row],[Elements at Risk]])</f>
        <v>Marine Heat Waves risk to Water Supply</v>
      </c>
      <c r="M104" s="22" t="str" cm="1">
        <f t="array" ref="M104">_xlfn.XLOOKUP(RiskStatements[[#This Row],[Vulnerability Rating]],VEMatrix[Vulnerability],_xlfn.XLOOKUP(RiskStatements[[#This Row],[Exposure Rating - Present]],VEMatrix[#Headers],VEMatrix[]))</f>
        <v>N/A</v>
      </c>
      <c r="N104" s="22" t="str" cm="1">
        <f t="array" ref="N104">_xlfn.XLOOKUP(RiskStatements[[#This Row],[Vulnerability Rating]],VEMatrix[Vulnerability],_xlfn.XLOOKUP(RiskStatements[[#This Row],[Exposure Rating - 2050]],VEMatrix[#Headers],VEMatrix[]))</f>
        <v>N/A</v>
      </c>
      <c r="O104" s="22" t="str" cm="1">
        <f t="array" ref="O104">_xlfn.XLOOKUP(RiskStatements[[#This Row],[Vulnerability Rating]],VEMatrix[Vulnerability],_xlfn.XLOOKUP(RiskStatements[[#This Row],[Exposure Rating - 2100]],VEMatrix[#Headers],VEMatrix[]))</f>
        <v>N/A</v>
      </c>
      <c r="P104" s="22">
        <f>_xlfn.XLOOKUP(RiskStatements[[#This Row],[Risk Rating - Present]],RatingOrder[Rating Order],RatingOrder[Rating Score],0,0)</f>
        <v>0</v>
      </c>
      <c r="Q104" s="22">
        <f>_xlfn.XLOOKUP(RiskStatements[[#This Row],[Risk Rating - 2050]],RatingOrder[Rating Order],RatingOrder[Rating Score],0,0)</f>
        <v>0</v>
      </c>
      <c r="R104" s="22">
        <f>_xlfn.XLOOKUP(RiskStatements[[#This Row],[Risk Rating - 2100]],RatingOrder[Rating Order],RatingOrder[Rating Score],0,0)</f>
        <v>0</v>
      </c>
      <c r="S10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05" spans="1:19" hidden="1" x14ac:dyDescent="0.35">
      <c r="A105" s="22" t="s">
        <v>120</v>
      </c>
      <c r="B105" s="22" t="s">
        <v>224</v>
      </c>
      <c r="C105" s="22" t="s">
        <v>457</v>
      </c>
      <c r="D105" s="22" t="str">
        <f>"V - " &amp;RiskStatements[[#This Row],[Climate Variables/Explainers]]</f>
        <v>V - Marine Heat Waves</v>
      </c>
      <c r="E105" s="22" t="str">
        <f>"EP - " &amp;RiskStatements[[#This Row],[Climate Variables/Explainers]]</f>
        <v>EP - Marine Heat Waves</v>
      </c>
      <c r="F105" s="22" t="str">
        <f>"E2050 - " &amp;RiskStatements[[#This Row],[Climate Variables/Explainers]]</f>
        <v>E2050 - Marine Heat Waves</v>
      </c>
      <c r="G105" s="22" t="str">
        <f>"E2100 - " &amp;RiskStatements[[#This Row],[Climate Variables/Explainers]]</f>
        <v>E2100 - Marine Heat Waves</v>
      </c>
      <c r="H105" s="22" t="str" cm="1">
        <f t="array" ref="H105">_xlfn.XLOOKUP(RiskStatements[[#This Row],[Elements at Risk]],Final_VEValues[Elements at Risk],_xlfn.XLOOKUP(RiskStatements[[#This Row],[Vulnerability Header]],Final_VEValues[#Headers],Final_VEValues[]))</f>
        <v>N/A</v>
      </c>
      <c r="I105" s="22" t="str" cm="1">
        <f t="array" ref="I105">_xlfn.XLOOKUP(RiskStatements[[#This Row],[Elements at Risk]],Final_VEValues[Elements at Risk],_xlfn.XLOOKUP(RiskStatements[[#This Row],[Exposure Present Header]],Final_VEValues[#Headers],Final_VEValues[]))</f>
        <v>N/A</v>
      </c>
      <c r="J105" s="22" t="str" cm="1">
        <f t="array" ref="J105">_xlfn.XLOOKUP(RiskStatements[[#This Row],[Elements at Risk]],Final_VEValues[Elements at Risk],_xlfn.XLOOKUP(RiskStatements[[#This Row],[Exposure 2050 Header]],Final_VEValues[#Headers],Final_VEValues[]))</f>
        <v>N/A</v>
      </c>
      <c r="K105" s="22" t="str" cm="1">
        <f t="array" ref="K105">_xlfn.XLOOKUP(RiskStatements[[#This Row],[Elements at Risk]],Final_VEValues[Elements at Risk],_xlfn.XLOOKUP(RiskStatements[[#This Row],[Exposure 2100 Header]],Final_VEValues[#Headers],Final_VEValues[]))</f>
        <v>N/A</v>
      </c>
      <c r="L105" s="22" t="str">
        <f>_xlfn.CONCAT(RiskStatements[[#This Row],[Climate Variables/Explainers]]," risk to ",RiskStatements[[#This Row],[Elements at Risk]])</f>
        <v>Marine Heat Waves risk to Stormwater / Flood Management</v>
      </c>
      <c r="M105" s="22" t="str" cm="1">
        <f t="array" ref="M105">_xlfn.XLOOKUP(RiskStatements[[#This Row],[Vulnerability Rating]],VEMatrix[Vulnerability],_xlfn.XLOOKUP(RiskStatements[[#This Row],[Exposure Rating - Present]],VEMatrix[#Headers],VEMatrix[]))</f>
        <v>N/A</v>
      </c>
      <c r="N105" s="22" t="str" cm="1">
        <f t="array" ref="N105">_xlfn.XLOOKUP(RiskStatements[[#This Row],[Vulnerability Rating]],VEMatrix[Vulnerability],_xlfn.XLOOKUP(RiskStatements[[#This Row],[Exposure Rating - 2050]],VEMatrix[#Headers],VEMatrix[]))</f>
        <v>N/A</v>
      </c>
      <c r="O105" s="22" t="str" cm="1">
        <f t="array" ref="O105">_xlfn.XLOOKUP(RiskStatements[[#This Row],[Vulnerability Rating]],VEMatrix[Vulnerability],_xlfn.XLOOKUP(RiskStatements[[#This Row],[Exposure Rating - 2100]],VEMatrix[#Headers],VEMatrix[]))</f>
        <v>N/A</v>
      </c>
      <c r="P105" s="22">
        <f>_xlfn.XLOOKUP(RiskStatements[[#This Row],[Risk Rating - Present]],RatingOrder[Rating Order],RatingOrder[Rating Score],0,0)</f>
        <v>0</v>
      </c>
      <c r="Q105" s="22">
        <f>_xlfn.XLOOKUP(RiskStatements[[#This Row],[Risk Rating - 2050]],RatingOrder[Rating Order],RatingOrder[Rating Score],0,0)</f>
        <v>0</v>
      </c>
      <c r="R105" s="22">
        <f>_xlfn.XLOOKUP(RiskStatements[[#This Row],[Risk Rating - 2100]],RatingOrder[Rating Order],RatingOrder[Rating Score],0,0)</f>
        <v>0</v>
      </c>
      <c r="S10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06" spans="1:19" hidden="1" x14ac:dyDescent="0.35">
      <c r="A106" s="22" t="s">
        <v>120</v>
      </c>
      <c r="B106" s="22" t="s">
        <v>212</v>
      </c>
      <c r="C106" s="22" t="s">
        <v>457</v>
      </c>
      <c r="D106" s="22" t="str">
        <f>"V - " &amp;RiskStatements[[#This Row],[Climate Variables/Explainers]]</f>
        <v>V - Marine Heat Waves</v>
      </c>
      <c r="E106" s="22" t="str">
        <f>"EP - " &amp;RiskStatements[[#This Row],[Climate Variables/Explainers]]</f>
        <v>EP - Marine Heat Waves</v>
      </c>
      <c r="F106" s="22" t="str">
        <f>"E2050 - " &amp;RiskStatements[[#This Row],[Climate Variables/Explainers]]</f>
        <v>E2050 - Marine Heat Waves</v>
      </c>
      <c r="G106" s="22" t="str">
        <f>"E2100 - " &amp;RiskStatements[[#This Row],[Climate Variables/Explainers]]</f>
        <v>E2100 - Marine Heat Waves</v>
      </c>
      <c r="H106" s="22" t="str" cm="1">
        <f t="array" ref="H106">_xlfn.XLOOKUP(RiskStatements[[#This Row],[Elements at Risk]],Final_VEValues[Elements at Risk],_xlfn.XLOOKUP(RiskStatements[[#This Row],[Vulnerability Header]],Final_VEValues[#Headers],Final_VEValues[]))</f>
        <v>N/A</v>
      </c>
      <c r="I106" s="22" t="str" cm="1">
        <f t="array" ref="I106">_xlfn.XLOOKUP(RiskStatements[[#This Row],[Elements at Risk]],Final_VEValues[Elements at Risk],_xlfn.XLOOKUP(RiskStatements[[#This Row],[Exposure Present Header]],Final_VEValues[#Headers],Final_VEValues[]))</f>
        <v>N/A</v>
      </c>
      <c r="J106" s="22" t="str" cm="1">
        <f t="array" ref="J106">_xlfn.XLOOKUP(RiskStatements[[#This Row],[Elements at Risk]],Final_VEValues[Elements at Risk],_xlfn.XLOOKUP(RiskStatements[[#This Row],[Exposure 2050 Header]],Final_VEValues[#Headers],Final_VEValues[]))</f>
        <v>N/A</v>
      </c>
      <c r="K106" s="22" t="str" cm="1">
        <f t="array" ref="K106">_xlfn.XLOOKUP(RiskStatements[[#This Row],[Elements at Risk]],Final_VEValues[Elements at Risk],_xlfn.XLOOKUP(RiskStatements[[#This Row],[Exposure 2100 Header]],Final_VEValues[#Headers],Final_VEValues[]))</f>
        <v>N/A</v>
      </c>
      <c r="L106" s="22" t="str">
        <f>_xlfn.CONCAT(RiskStatements[[#This Row],[Climate Variables/Explainers]]," risk to ",RiskStatements[[#This Row],[Elements at Risk]])</f>
        <v>Marine Heat Waves risk to Uninhabited Buildings</v>
      </c>
      <c r="M106" s="22" t="str" cm="1">
        <f t="array" ref="M106">_xlfn.XLOOKUP(RiskStatements[[#This Row],[Vulnerability Rating]],VEMatrix[Vulnerability],_xlfn.XLOOKUP(RiskStatements[[#This Row],[Exposure Rating - Present]],VEMatrix[#Headers],VEMatrix[]))</f>
        <v>N/A</v>
      </c>
      <c r="N106" s="22" t="str" cm="1">
        <f t="array" ref="N106">_xlfn.XLOOKUP(RiskStatements[[#This Row],[Vulnerability Rating]],VEMatrix[Vulnerability],_xlfn.XLOOKUP(RiskStatements[[#This Row],[Exposure Rating - 2050]],VEMatrix[#Headers],VEMatrix[]))</f>
        <v>N/A</v>
      </c>
      <c r="O106" s="22" t="str" cm="1">
        <f t="array" ref="O106">_xlfn.XLOOKUP(RiskStatements[[#This Row],[Vulnerability Rating]],VEMatrix[Vulnerability],_xlfn.XLOOKUP(RiskStatements[[#This Row],[Exposure Rating - 2100]],VEMatrix[#Headers],VEMatrix[]))</f>
        <v>N/A</v>
      </c>
      <c r="P106" s="22">
        <f>_xlfn.XLOOKUP(RiskStatements[[#This Row],[Risk Rating - Present]],RatingOrder[Rating Order],RatingOrder[Rating Score],0,0)</f>
        <v>0</v>
      </c>
      <c r="Q106" s="22">
        <f>_xlfn.XLOOKUP(RiskStatements[[#This Row],[Risk Rating - 2050]],RatingOrder[Rating Order],RatingOrder[Rating Score],0,0)</f>
        <v>0</v>
      </c>
      <c r="R106" s="22">
        <f>_xlfn.XLOOKUP(RiskStatements[[#This Row],[Risk Rating - 2100]],RatingOrder[Rating Order],RatingOrder[Rating Score],0,0)</f>
        <v>0</v>
      </c>
      <c r="S10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07" spans="1:19" hidden="1" x14ac:dyDescent="0.35">
      <c r="A107" s="22" t="s">
        <v>120</v>
      </c>
      <c r="B107" s="22" t="s">
        <v>74</v>
      </c>
      <c r="C107" s="22" t="s">
        <v>457</v>
      </c>
      <c r="D107" s="22" t="str">
        <f>"V - " &amp;RiskStatements[[#This Row],[Climate Variables/Explainers]]</f>
        <v>V - Marine Heat Waves</v>
      </c>
      <c r="E107" s="22" t="str">
        <f>"EP - " &amp;RiskStatements[[#This Row],[Climate Variables/Explainers]]</f>
        <v>EP - Marine Heat Waves</v>
      </c>
      <c r="F107" s="22" t="str">
        <f>"E2050 - " &amp;RiskStatements[[#This Row],[Climate Variables/Explainers]]</f>
        <v>E2050 - Marine Heat Waves</v>
      </c>
      <c r="G107" s="22" t="str">
        <f>"E2100 - " &amp;RiskStatements[[#This Row],[Climate Variables/Explainers]]</f>
        <v>E2100 - Marine Heat Waves</v>
      </c>
      <c r="H107" s="22" t="str" cm="1">
        <f t="array" ref="H107">_xlfn.XLOOKUP(RiskStatements[[#This Row],[Elements at Risk]],Final_VEValues[Elements at Risk],_xlfn.XLOOKUP(RiskStatements[[#This Row],[Vulnerability Header]],Final_VEValues[#Headers],Final_VEValues[]))</f>
        <v>N/A</v>
      </c>
      <c r="I107" s="22" t="str" cm="1">
        <f t="array" ref="I107">_xlfn.XLOOKUP(RiskStatements[[#This Row],[Elements at Risk]],Final_VEValues[Elements at Risk],_xlfn.XLOOKUP(RiskStatements[[#This Row],[Exposure Present Header]],Final_VEValues[#Headers],Final_VEValues[]))</f>
        <v>N/A</v>
      </c>
      <c r="J107" s="22" t="str" cm="1">
        <f t="array" ref="J107">_xlfn.XLOOKUP(RiskStatements[[#This Row],[Elements at Risk]],Final_VEValues[Elements at Risk],_xlfn.XLOOKUP(RiskStatements[[#This Row],[Exposure 2050 Header]],Final_VEValues[#Headers],Final_VEValues[]))</f>
        <v>N/A</v>
      </c>
      <c r="K107" s="22" t="str" cm="1">
        <f t="array" ref="K107">_xlfn.XLOOKUP(RiskStatements[[#This Row],[Elements at Risk]],Final_VEValues[Elements at Risk],_xlfn.XLOOKUP(RiskStatements[[#This Row],[Exposure 2100 Header]],Final_VEValues[#Headers],Final_VEValues[]))</f>
        <v>N/A</v>
      </c>
      <c r="L107" s="22" t="str">
        <f>_xlfn.CONCAT(RiskStatements[[#This Row],[Climate Variables/Explainers]]," risk to ",RiskStatements[[#This Row],[Elements at Risk]])</f>
        <v>Marine Heat Waves risk to Evacuation Structures</v>
      </c>
      <c r="M107" s="22" t="str" cm="1">
        <f t="array" ref="M107">_xlfn.XLOOKUP(RiskStatements[[#This Row],[Vulnerability Rating]],VEMatrix[Vulnerability],_xlfn.XLOOKUP(RiskStatements[[#This Row],[Exposure Rating - Present]],VEMatrix[#Headers],VEMatrix[]))</f>
        <v>N/A</v>
      </c>
      <c r="N107" s="22" t="str" cm="1">
        <f t="array" ref="N107">_xlfn.XLOOKUP(RiskStatements[[#This Row],[Vulnerability Rating]],VEMatrix[Vulnerability],_xlfn.XLOOKUP(RiskStatements[[#This Row],[Exposure Rating - 2050]],VEMatrix[#Headers],VEMatrix[]))</f>
        <v>N/A</v>
      </c>
      <c r="O107" s="22" t="str" cm="1">
        <f t="array" ref="O107">_xlfn.XLOOKUP(RiskStatements[[#This Row],[Vulnerability Rating]],VEMatrix[Vulnerability],_xlfn.XLOOKUP(RiskStatements[[#This Row],[Exposure Rating - 2100]],VEMatrix[#Headers],VEMatrix[]))</f>
        <v>N/A</v>
      </c>
      <c r="P107" s="22">
        <f>_xlfn.XLOOKUP(RiskStatements[[#This Row],[Risk Rating - Present]],RatingOrder[Rating Order],RatingOrder[Rating Score],0,0)</f>
        <v>0</v>
      </c>
      <c r="Q107" s="22">
        <f>_xlfn.XLOOKUP(RiskStatements[[#This Row],[Risk Rating - 2050]],RatingOrder[Rating Order],RatingOrder[Rating Score],0,0)</f>
        <v>0</v>
      </c>
      <c r="R107" s="22">
        <f>_xlfn.XLOOKUP(RiskStatements[[#This Row],[Risk Rating - 2100]],RatingOrder[Rating Order],RatingOrder[Rating Score],0,0)</f>
        <v>0</v>
      </c>
      <c r="S10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08" spans="1:19" hidden="1" x14ac:dyDescent="0.35">
      <c r="A108" s="22" t="s">
        <v>46</v>
      </c>
      <c r="B108" s="22" t="s">
        <v>227</v>
      </c>
      <c r="C108" s="22" t="s">
        <v>457</v>
      </c>
      <c r="D108" s="22" t="str">
        <f>"V - " &amp;RiskStatements[[#This Row],[Climate Variables/Explainers]]</f>
        <v>V - Marine Heat Waves</v>
      </c>
      <c r="E108" s="22" t="str">
        <f>"EP - " &amp;RiskStatements[[#This Row],[Climate Variables/Explainers]]</f>
        <v>EP - Marine Heat Waves</v>
      </c>
      <c r="F108" s="22" t="str">
        <f>"E2050 - " &amp;RiskStatements[[#This Row],[Climate Variables/Explainers]]</f>
        <v>E2050 - Marine Heat Waves</v>
      </c>
      <c r="G108" s="22" t="str">
        <f>"E2100 - " &amp;RiskStatements[[#This Row],[Climate Variables/Explainers]]</f>
        <v>E2100 - Marine Heat Waves</v>
      </c>
      <c r="H108" s="22" t="str" cm="1">
        <f t="array" ref="H108">_xlfn.XLOOKUP(RiskStatements[[#This Row],[Elements at Risk]],Final_VEValues[Elements at Risk],_xlfn.XLOOKUP(RiskStatements[[#This Row],[Vulnerability Header]],Final_VEValues[#Headers],Final_VEValues[]))</f>
        <v>N/A</v>
      </c>
      <c r="I108" s="22" t="str" cm="1">
        <f t="array" ref="I108">_xlfn.XLOOKUP(RiskStatements[[#This Row],[Elements at Risk]],Final_VEValues[Elements at Risk],_xlfn.XLOOKUP(RiskStatements[[#This Row],[Exposure Present Header]],Final_VEValues[#Headers],Final_VEValues[]))</f>
        <v>N/A</v>
      </c>
      <c r="J108" s="22" t="str" cm="1">
        <f t="array" ref="J108">_xlfn.XLOOKUP(RiskStatements[[#This Row],[Elements at Risk]],Final_VEValues[Elements at Risk],_xlfn.XLOOKUP(RiskStatements[[#This Row],[Exposure 2050 Header]],Final_VEValues[#Headers],Final_VEValues[]))</f>
        <v>N/A</v>
      </c>
      <c r="K108" s="22" t="str" cm="1">
        <f t="array" ref="K108">_xlfn.XLOOKUP(RiskStatements[[#This Row],[Elements at Risk]],Final_VEValues[Elements at Risk],_xlfn.XLOOKUP(RiskStatements[[#This Row],[Exposure 2100 Header]],Final_VEValues[#Headers],Final_VEValues[]))</f>
        <v>N/A</v>
      </c>
      <c r="L108" s="22" t="str">
        <f>_xlfn.CONCAT(RiskStatements[[#This Row],[Climate Variables/Explainers]]," risk to ",RiskStatements[[#This Row],[Elements at Risk]])</f>
        <v>Marine Heat Waves risk to Outdoor Land Activities</v>
      </c>
      <c r="M108" s="22" t="str" cm="1">
        <f t="array" ref="M108">_xlfn.XLOOKUP(RiskStatements[[#This Row],[Vulnerability Rating]],VEMatrix[Vulnerability],_xlfn.XLOOKUP(RiskStatements[[#This Row],[Exposure Rating - Present]],VEMatrix[#Headers],VEMatrix[]))</f>
        <v>N/A</v>
      </c>
      <c r="N108" s="22" t="str" cm="1">
        <f t="array" ref="N108">_xlfn.XLOOKUP(RiskStatements[[#This Row],[Vulnerability Rating]],VEMatrix[Vulnerability],_xlfn.XLOOKUP(RiskStatements[[#This Row],[Exposure Rating - 2050]],VEMatrix[#Headers],VEMatrix[]))</f>
        <v>N/A</v>
      </c>
      <c r="O108" s="22" t="str" cm="1">
        <f t="array" ref="O108">_xlfn.XLOOKUP(RiskStatements[[#This Row],[Vulnerability Rating]],VEMatrix[Vulnerability],_xlfn.XLOOKUP(RiskStatements[[#This Row],[Exposure Rating - 2100]],VEMatrix[#Headers],VEMatrix[]))</f>
        <v>N/A</v>
      </c>
      <c r="P108" s="22">
        <f>_xlfn.XLOOKUP(RiskStatements[[#This Row],[Risk Rating - Present]],RatingOrder[Rating Order],RatingOrder[Rating Score],0,0)</f>
        <v>0</v>
      </c>
      <c r="Q108" s="22">
        <f>_xlfn.XLOOKUP(RiskStatements[[#This Row],[Risk Rating - 2050]],RatingOrder[Rating Order],RatingOrder[Rating Score],0,0)</f>
        <v>0</v>
      </c>
      <c r="R108" s="22">
        <f>_xlfn.XLOOKUP(RiskStatements[[#This Row],[Risk Rating - 2100]],RatingOrder[Rating Order],RatingOrder[Rating Score],0,0)</f>
        <v>0</v>
      </c>
      <c r="S10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09" spans="1:19" hidden="1" x14ac:dyDescent="0.35">
      <c r="A109" s="22" t="s">
        <v>46</v>
      </c>
      <c r="B109" s="22" t="s">
        <v>226</v>
      </c>
      <c r="C109" s="22" t="s">
        <v>457</v>
      </c>
      <c r="D109" s="22" t="str">
        <f>"V - " &amp;RiskStatements[[#This Row],[Climate Variables/Explainers]]</f>
        <v>V - Marine Heat Waves</v>
      </c>
      <c r="E109" s="22" t="str">
        <f>"EP - " &amp;RiskStatements[[#This Row],[Climate Variables/Explainers]]</f>
        <v>EP - Marine Heat Waves</v>
      </c>
      <c r="F109" s="22" t="str">
        <f>"E2050 - " &amp;RiskStatements[[#This Row],[Climate Variables/Explainers]]</f>
        <v>E2050 - Marine Heat Waves</v>
      </c>
      <c r="G109" s="22" t="str">
        <f>"E2100 - " &amp;RiskStatements[[#This Row],[Climate Variables/Explainers]]</f>
        <v>E2100 - Marine Heat Waves</v>
      </c>
      <c r="H109" s="22" t="str" cm="1">
        <f t="array" ref="H109">_xlfn.XLOOKUP(RiskStatements[[#This Row],[Elements at Risk]],Final_VEValues[Elements at Risk],_xlfn.XLOOKUP(RiskStatements[[#This Row],[Vulnerability Header]],Final_VEValues[#Headers],Final_VEValues[]))</f>
        <v>M</v>
      </c>
      <c r="I109" s="22" t="str" cm="1">
        <f t="array" ref="I109">_xlfn.XLOOKUP(RiskStatements[[#This Row],[Elements at Risk]],Final_VEValues[Elements at Risk],_xlfn.XLOOKUP(RiskStatements[[#This Row],[Exposure Present Header]],Final_VEValues[#Headers],Final_VEValues[]))</f>
        <v>M</v>
      </c>
      <c r="J109" s="22" t="str" cm="1">
        <f t="array" ref="J109">_xlfn.XLOOKUP(RiskStatements[[#This Row],[Elements at Risk]],Final_VEValues[Elements at Risk],_xlfn.XLOOKUP(RiskStatements[[#This Row],[Exposure 2050 Header]],Final_VEValues[#Headers],Final_VEValues[]))</f>
        <v>H</v>
      </c>
      <c r="K109" s="22" t="str" cm="1">
        <f t="array" ref="K109">_xlfn.XLOOKUP(RiskStatements[[#This Row],[Elements at Risk]],Final_VEValues[Elements at Risk],_xlfn.XLOOKUP(RiskStatements[[#This Row],[Exposure 2100 Header]],Final_VEValues[#Headers],Final_VEValues[]))</f>
        <v>E</v>
      </c>
      <c r="L109" s="22" t="str">
        <f>_xlfn.CONCAT(RiskStatements[[#This Row],[Climate Variables/Explainers]]," risk to ",RiskStatements[[#This Row],[Elements at Risk]])</f>
        <v>Marine Heat Waves risk to Outdoor Marine Activities</v>
      </c>
      <c r="M109" s="22" t="str" cm="1">
        <f t="array" ref="M109">_xlfn.XLOOKUP(RiskStatements[[#This Row],[Vulnerability Rating]],VEMatrix[Vulnerability],_xlfn.XLOOKUP(RiskStatements[[#This Row],[Exposure Rating - Present]],VEMatrix[#Headers],VEMatrix[]))</f>
        <v>Moderate</v>
      </c>
      <c r="N109" s="22" t="str" cm="1">
        <f t="array" ref="N109">_xlfn.XLOOKUP(RiskStatements[[#This Row],[Vulnerability Rating]],VEMatrix[Vulnerability],_xlfn.XLOOKUP(RiskStatements[[#This Row],[Exposure Rating - 2050]],VEMatrix[#Headers],VEMatrix[]))</f>
        <v>Moderate</v>
      </c>
      <c r="O109" s="22" t="str" cm="1">
        <f t="array" ref="O109">_xlfn.XLOOKUP(RiskStatements[[#This Row],[Vulnerability Rating]],VEMatrix[Vulnerability],_xlfn.XLOOKUP(RiskStatements[[#This Row],[Exposure Rating - 2100]],VEMatrix[#Headers],VEMatrix[]))</f>
        <v>High</v>
      </c>
      <c r="P109" s="22">
        <f>_xlfn.XLOOKUP(RiskStatements[[#This Row],[Risk Rating - Present]],RatingOrder[Rating Order],RatingOrder[Rating Score],0,0)</f>
        <v>2</v>
      </c>
      <c r="Q109" s="22">
        <f>_xlfn.XLOOKUP(RiskStatements[[#This Row],[Risk Rating - 2050]],RatingOrder[Rating Order],RatingOrder[Rating Score],0,0)</f>
        <v>2</v>
      </c>
      <c r="R109" s="22">
        <f>_xlfn.XLOOKUP(RiskStatements[[#This Row],[Risk Rating - 2100]],RatingOrder[Rating Order],RatingOrder[Rating Score],0,0)</f>
        <v>3</v>
      </c>
      <c r="S10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10" spans="1:19" hidden="1" x14ac:dyDescent="0.35">
      <c r="A110" s="22" t="s">
        <v>46</v>
      </c>
      <c r="B110" s="22" t="s">
        <v>225</v>
      </c>
      <c r="C110" s="22" t="s">
        <v>457</v>
      </c>
      <c r="D110" s="22" t="str">
        <f>"V - " &amp;RiskStatements[[#This Row],[Climate Variables/Explainers]]</f>
        <v>V - Marine Heat Waves</v>
      </c>
      <c r="E110" s="22" t="str">
        <f>"EP - " &amp;RiskStatements[[#This Row],[Climate Variables/Explainers]]</f>
        <v>EP - Marine Heat Waves</v>
      </c>
      <c r="F110" s="22" t="str">
        <f>"E2050 - " &amp;RiskStatements[[#This Row],[Climate Variables/Explainers]]</f>
        <v>E2050 - Marine Heat Waves</v>
      </c>
      <c r="G110" s="22" t="str">
        <f>"E2100 - " &amp;RiskStatements[[#This Row],[Climate Variables/Explainers]]</f>
        <v>E2100 - Marine Heat Waves</v>
      </c>
      <c r="H110" s="22" t="str" cm="1">
        <f t="array" ref="H110">_xlfn.XLOOKUP(RiskStatements[[#This Row],[Elements at Risk]],Final_VEValues[Elements at Risk],_xlfn.XLOOKUP(RiskStatements[[#This Row],[Vulnerability Header]],Final_VEValues[#Headers],Final_VEValues[]))</f>
        <v>N/A</v>
      </c>
      <c r="I110" s="22" t="str" cm="1">
        <f t="array" ref="I110">_xlfn.XLOOKUP(RiskStatements[[#This Row],[Elements at Risk]],Final_VEValues[Elements at Risk],_xlfn.XLOOKUP(RiskStatements[[#This Row],[Exposure Present Header]],Final_VEValues[#Headers],Final_VEValues[]))</f>
        <v>N/A</v>
      </c>
      <c r="J110" s="22" t="str" cm="1">
        <f t="array" ref="J110">_xlfn.XLOOKUP(RiskStatements[[#This Row],[Elements at Risk]],Final_VEValues[Elements at Risk],_xlfn.XLOOKUP(RiskStatements[[#This Row],[Exposure 2050 Header]],Final_VEValues[#Headers],Final_VEValues[]))</f>
        <v>N/A</v>
      </c>
      <c r="K110" s="22" t="str" cm="1">
        <f t="array" ref="K110">_xlfn.XLOOKUP(RiskStatements[[#This Row],[Elements at Risk]],Final_VEValues[Elements at Risk],_xlfn.XLOOKUP(RiskStatements[[#This Row],[Exposure 2100 Header]],Final_VEValues[#Headers],Final_VEValues[]))</f>
        <v>N/A</v>
      </c>
      <c r="L110" s="22" t="str">
        <f>_xlfn.CONCAT(RiskStatements[[#This Row],[Climate Variables/Explainers]]," risk to ",RiskStatements[[#This Row],[Elements at Risk]])</f>
        <v>Marine Heat Waves risk to Outdoor Freshwater Activities</v>
      </c>
      <c r="M110" s="22" t="str" cm="1">
        <f t="array" ref="M110">_xlfn.XLOOKUP(RiskStatements[[#This Row],[Vulnerability Rating]],VEMatrix[Vulnerability],_xlfn.XLOOKUP(RiskStatements[[#This Row],[Exposure Rating - Present]],VEMatrix[#Headers],VEMatrix[]))</f>
        <v>N/A</v>
      </c>
      <c r="N110" s="22" t="str" cm="1">
        <f t="array" ref="N110">_xlfn.XLOOKUP(RiskStatements[[#This Row],[Vulnerability Rating]],VEMatrix[Vulnerability],_xlfn.XLOOKUP(RiskStatements[[#This Row],[Exposure Rating - 2050]],VEMatrix[#Headers],VEMatrix[]))</f>
        <v>N/A</v>
      </c>
      <c r="O110" s="22" t="str" cm="1">
        <f t="array" ref="O110">_xlfn.XLOOKUP(RiskStatements[[#This Row],[Vulnerability Rating]],VEMatrix[Vulnerability],_xlfn.XLOOKUP(RiskStatements[[#This Row],[Exposure Rating - 2100]],VEMatrix[#Headers],VEMatrix[]))</f>
        <v>N/A</v>
      </c>
      <c r="P110" s="22">
        <f>_xlfn.XLOOKUP(RiskStatements[[#This Row],[Risk Rating - Present]],RatingOrder[Rating Order],RatingOrder[Rating Score],0,0)</f>
        <v>0</v>
      </c>
      <c r="Q110" s="22">
        <f>_xlfn.XLOOKUP(RiskStatements[[#This Row],[Risk Rating - 2050]],RatingOrder[Rating Order],RatingOrder[Rating Score],0,0)</f>
        <v>0</v>
      </c>
      <c r="R110" s="22">
        <f>_xlfn.XLOOKUP(RiskStatements[[#This Row],[Risk Rating - 2100]],RatingOrder[Rating Order],RatingOrder[Rating Score],0,0)</f>
        <v>0</v>
      </c>
      <c r="S11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11" spans="1:19" hidden="1" x14ac:dyDescent="0.35">
      <c r="A111" s="22" t="s">
        <v>46</v>
      </c>
      <c r="B111" s="22" t="s">
        <v>79</v>
      </c>
      <c r="C111" s="22" t="s">
        <v>457</v>
      </c>
      <c r="D111" s="22" t="str">
        <f>"V - " &amp;RiskStatements[[#This Row],[Climate Variables/Explainers]]</f>
        <v>V - Marine Heat Waves</v>
      </c>
      <c r="E111" s="22" t="str">
        <f>"EP - " &amp;RiskStatements[[#This Row],[Climate Variables/Explainers]]</f>
        <v>EP - Marine Heat Waves</v>
      </c>
      <c r="F111" s="22" t="str">
        <f>"E2050 - " &amp;RiskStatements[[#This Row],[Climate Variables/Explainers]]</f>
        <v>E2050 - Marine Heat Waves</v>
      </c>
      <c r="G111" s="22" t="str">
        <f>"E2100 - " &amp;RiskStatements[[#This Row],[Climate Variables/Explainers]]</f>
        <v>E2100 - Marine Heat Waves</v>
      </c>
      <c r="H111" s="22" t="str" cm="1">
        <f t="array" ref="H111">_xlfn.XLOOKUP(RiskStatements[[#This Row],[Elements at Risk]],Final_VEValues[Elements at Risk],_xlfn.XLOOKUP(RiskStatements[[#This Row],[Vulnerability Header]],Final_VEValues[#Headers],Final_VEValues[]))</f>
        <v>M</v>
      </c>
      <c r="I111" s="22" t="str" cm="1">
        <f t="array" ref="I111">_xlfn.XLOOKUP(RiskStatements[[#This Row],[Elements at Risk]],Final_VEValues[Elements at Risk],_xlfn.XLOOKUP(RiskStatements[[#This Row],[Exposure Present Header]],Final_VEValues[#Headers],Final_VEValues[]))</f>
        <v>L</v>
      </c>
      <c r="J111" s="22" t="str" cm="1">
        <f t="array" ref="J111">_xlfn.XLOOKUP(RiskStatements[[#This Row],[Elements at Risk]],Final_VEValues[Elements at Risk],_xlfn.XLOOKUP(RiskStatements[[#This Row],[Exposure 2050 Header]],Final_VEValues[#Headers],Final_VEValues[]))</f>
        <v>H</v>
      </c>
      <c r="K111" s="22" t="str" cm="1">
        <f t="array" ref="K111">_xlfn.XLOOKUP(RiskStatements[[#This Row],[Elements at Risk]],Final_VEValues[Elements at Risk],_xlfn.XLOOKUP(RiskStatements[[#This Row],[Exposure 2100 Header]],Final_VEValues[#Headers],Final_VEValues[]))</f>
        <v>E</v>
      </c>
      <c r="L111" s="22" t="str">
        <f>_xlfn.CONCAT(RiskStatements[[#This Row],[Climate Variables/Explainers]]," risk to ",RiskStatements[[#This Row],[Elements at Risk]])</f>
        <v>Marine Heat Waves risk to Outdoor Coastal Activities</v>
      </c>
      <c r="M111" s="22" t="str" cm="1">
        <f t="array" ref="M111">_xlfn.XLOOKUP(RiskStatements[[#This Row],[Vulnerability Rating]],VEMatrix[Vulnerability],_xlfn.XLOOKUP(RiskStatements[[#This Row],[Exposure Rating - Present]],VEMatrix[#Headers],VEMatrix[]))</f>
        <v>Low</v>
      </c>
      <c r="N111" s="22" t="str" cm="1">
        <f t="array" ref="N111">_xlfn.XLOOKUP(RiskStatements[[#This Row],[Vulnerability Rating]],VEMatrix[Vulnerability],_xlfn.XLOOKUP(RiskStatements[[#This Row],[Exposure Rating - 2050]],VEMatrix[#Headers],VEMatrix[]))</f>
        <v>Moderate</v>
      </c>
      <c r="O111" s="22" t="str" cm="1">
        <f t="array" ref="O111">_xlfn.XLOOKUP(RiskStatements[[#This Row],[Vulnerability Rating]],VEMatrix[Vulnerability],_xlfn.XLOOKUP(RiskStatements[[#This Row],[Exposure Rating - 2100]],VEMatrix[#Headers],VEMatrix[]))</f>
        <v>High</v>
      </c>
      <c r="P111" s="22">
        <f>_xlfn.XLOOKUP(RiskStatements[[#This Row],[Risk Rating - Present]],RatingOrder[Rating Order],RatingOrder[Rating Score],0,0)</f>
        <v>1</v>
      </c>
      <c r="Q111" s="22">
        <f>_xlfn.XLOOKUP(RiskStatements[[#This Row],[Risk Rating - 2050]],RatingOrder[Rating Order],RatingOrder[Rating Score],0,0)</f>
        <v>2</v>
      </c>
      <c r="R111" s="22">
        <f>_xlfn.XLOOKUP(RiskStatements[[#This Row],[Risk Rating - 2100]],RatingOrder[Rating Order],RatingOrder[Rating Score],0,0)</f>
        <v>3</v>
      </c>
      <c r="S11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12" spans="1:19" hidden="1" x14ac:dyDescent="0.35">
      <c r="A112" s="22" t="s">
        <v>46</v>
      </c>
      <c r="B112" s="175" t="s">
        <v>443</v>
      </c>
      <c r="C112" s="22" t="s">
        <v>457</v>
      </c>
      <c r="D112" s="22" t="str">
        <f>"V - " &amp;RiskStatements[[#This Row],[Climate Variables/Explainers]]</f>
        <v>V - Marine Heat Waves</v>
      </c>
      <c r="E112" s="22" t="str">
        <f>"EP - " &amp;RiskStatements[[#This Row],[Climate Variables/Explainers]]</f>
        <v>EP - Marine Heat Waves</v>
      </c>
      <c r="F112" s="22" t="str">
        <f>"E2050 - " &amp;RiskStatements[[#This Row],[Climate Variables/Explainers]]</f>
        <v>E2050 - Marine Heat Waves</v>
      </c>
      <c r="G112" s="22" t="str">
        <f>"E2100 - " &amp;RiskStatements[[#This Row],[Climate Variables/Explainers]]</f>
        <v>E2100 - Marine Heat Waves</v>
      </c>
      <c r="H112" s="22" t="str" cm="1">
        <f t="array" ref="H112">_xlfn.XLOOKUP(RiskStatements[[#This Row],[Elements at Risk]],Final_VEValues[Elements at Risk],_xlfn.XLOOKUP(RiskStatements[[#This Row],[Vulnerability Header]],Final_VEValues[#Headers],Final_VEValues[]))</f>
        <v>N/A</v>
      </c>
      <c r="I112" s="22" t="str" cm="1">
        <f t="array" ref="I112">_xlfn.XLOOKUP(RiskStatements[[#This Row],[Elements at Risk]],Final_VEValues[Elements at Risk],_xlfn.XLOOKUP(RiskStatements[[#This Row],[Exposure Present Header]],Final_VEValues[#Headers],Final_VEValues[]))</f>
        <v>N/A</v>
      </c>
      <c r="J112" s="22" t="str" cm="1">
        <f t="array" ref="J112">_xlfn.XLOOKUP(RiskStatements[[#This Row],[Elements at Risk]],Final_VEValues[Elements at Risk],_xlfn.XLOOKUP(RiskStatements[[#This Row],[Exposure 2050 Header]],Final_VEValues[#Headers],Final_VEValues[]))</f>
        <v>N/A</v>
      </c>
      <c r="K112" s="22" t="str" cm="1">
        <f t="array" ref="K112">_xlfn.XLOOKUP(RiskStatements[[#This Row],[Elements at Risk]],Final_VEValues[Elements at Risk],_xlfn.XLOOKUP(RiskStatements[[#This Row],[Exposure 2100 Header]],Final_VEValues[#Headers],Final_VEValues[]))</f>
        <v>N/A</v>
      </c>
      <c r="L112" s="22" t="str">
        <f>_xlfn.CONCAT(RiskStatements[[#This Row],[Climate Variables/Explainers]]," risk to ",RiskStatements[[#This Row],[Elements at Risk]])</f>
        <v>Marine Heat Waves risk to Land Transportation Activities</v>
      </c>
      <c r="M112" s="22" t="str" cm="1">
        <f t="array" ref="M112">_xlfn.XLOOKUP(RiskStatements[[#This Row],[Vulnerability Rating]],VEMatrix[Vulnerability],_xlfn.XLOOKUP(RiskStatements[[#This Row],[Exposure Rating - Present]],VEMatrix[#Headers],VEMatrix[]))</f>
        <v>N/A</v>
      </c>
      <c r="N112" s="22" t="str" cm="1">
        <f t="array" ref="N112">_xlfn.XLOOKUP(RiskStatements[[#This Row],[Vulnerability Rating]],VEMatrix[Vulnerability],_xlfn.XLOOKUP(RiskStatements[[#This Row],[Exposure Rating - 2050]],VEMatrix[#Headers],VEMatrix[]))</f>
        <v>N/A</v>
      </c>
      <c r="O112" s="22" t="str" cm="1">
        <f t="array" ref="O112">_xlfn.XLOOKUP(RiskStatements[[#This Row],[Vulnerability Rating]],VEMatrix[Vulnerability],_xlfn.XLOOKUP(RiskStatements[[#This Row],[Exposure Rating - 2100]],VEMatrix[#Headers],VEMatrix[]))</f>
        <v>N/A</v>
      </c>
      <c r="P112" s="22">
        <f>_xlfn.XLOOKUP(RiskStatements[[#This Row],[Risk Rating - Present]],RatingOrder[Rating Order],RatingOrder[Rating Score],0,0)</f>
        <v>0</v>
      </c>
      <c r="Q112" s="22">
        <f>_xlfn.XLOOKUP(RiskStatements[[#This Row],[Risk Rating - 2050]],RatingOrder[Rating Order],RatingOrder[Rating Score],0,0)</f>
        <v>0</v>
      </c>
      <c r="R112" s="22">
        <f>_xlfn.XLOOKUP(RiskStatements[[#This Row],[Risk Rating - 2100]],RatingOrder[Rating Order],RatingOrder[Rating Score],0,0)</f>
        <v>0</v>
      </c>
      <c r="S11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13" spans="1:19" hidden="1" x14ac:dyDescent="0.35">
      <c r="A113" s="22" t="s">
        <v>46</v>
      </c>
      <c r="B113" s="22" t="s">
        <v>222</v>
      </c>
      <c r="C113" s="22" t="s">
        <v>457</v>
      </c>
      <c r="D113" s="22" t="str">
        <f>"V - " &amp;RiskStatements[[#This Row],[Climate Variables/Explainers]]</f>
        <v>V - Marine Heat Waves</v>
      </c>
      <c r="E113" s="22" t="str">
        <f>"EP - " &amp;RiskStatements[[#This Row],[Climate Variables/Explainers]]</f>
        <v>EP - Marine Heat Waves</v>
      </c>
      <c r="F113" s="22" t="str">
        <f>"E2050 - " &amp;RiskStatements[[#This Row],[Climate Variables/Explainers]]</f>
        <v>E2050 - Marine Heat Waves</v>
      </c>
      <c r="G113" s="22" t="str">
        <f>"E2100 - " &amp;RiskStatements[[#This Row],[Climate Variables/Explainers]]</f>
        <v>E2100 - Marine Heat Waves</v>
      </c>
      <c r="H113" s="22" t="str" cm="1">
        <f t="array" ref="H113">_xlfn.XLOOKUP(RiskStatements[[#This Row],[Elements at Risk]],Final_VEValues[Elements at Risk],_xlfn.XLOOKUP(RiskStatements[[#This Row],[Vulnerability Header]],Final_VEValues[#Headers],Final_VEValues[]))</f>
        <v>L</v>
      </c>
      <c r="I113" s="22" t="str" cm="1">
        <f t="array" ref="I113">_xlfn.XLOOKUP(RiskStatements[[#This Row],[Elements at Risk]],Final_VEValues[Elements at Risk],_xlfn.XLOOKUP(RiskStatements[[#This Row],[Exposure Present Header]],Final_VEValues[#Headers],Final_VEValues[]))</f>
        <v>L</v>
      </c>
      <c r="J113" s="22" t="str" cm="1">
        <f t="array" ref="J113">_xlfn.XLOOKUP(RiskStatements[[#This Row],[Elements at Risk]],Final_VEValues[Elements at Risk],_xlfn.XLOOKUP(RiskStatements[[#This Row],[Exposure 2050 Header]],Final_VEValues[#Headers],Final_VEValues[]))</f>
        <v>M</v>
      </c>
      <c r="K113" s="22" t="str" cm="1">
        <f t="array" ref="K113">_xlfn.XLOOKUP(RiskStatements[[#This Row],[Elements at Risk]],Final_VEValues[Elements at Risk],_xlfn.XLOOKUP(RiskStatements[[#This Row],[Exposure 2100 Header]],Final_VEValues[#Headers],Final_VEValues[]))</f>
        <v>M</v>
      </c>
      <c r="L113" s="22" t="str">
        <f>_xlfn.CONCAT(RiskStatements[[#This Row],[Climate Variables/Explainers]]," risk to ",RiskStatements[[#This Row],[Elements at Risk]])</f>
        <v>Marine Heat Waves risk to Water Transportation Activities</v>
      </c>
      <c r="M113" s="22" t="str" cm="1">
        <f t="array" ref="M113">_xlfn.XLOOKUP(RiskStatements[[#This Row],[Vulnerability Rating]],VEMatrix[Vulnerability],_xlfn.XLOOKUP(RiskStatements[[#This Row],[Exposure Rating - Present]],VEMatrix[#Headers],VEMatrix[]))</f>
        <v>Low</v>
      </c>
      <c r="N113" s="22" t="str" cm="1">
        <f t="array" ref="N113">_xlfn.XLOOKUP(RiskStatements[[#This Row],[Vulnerability Rating]],VEMatrix[Vulnerability],_xlfn.XLOOKUP(RiskStatements[[#This Row],[Exposure Rating - 2050]],VEMatrix[#Headers],VEMatrix[]))</f>
        <v>Low</v>
      </c>
      <c r="O113" s="22" t="str" cm="1">
        <f t="array" ref="O113">_xlfn.XLOOKUP(RiskStatements[[#This Row],[Vulnerability Rating]],VEMatrix[Vulnerability],_xlfn.XLOOKUP(RiskStatements[[#This Row],[Exposure Rating - 2100]],VEMatrix[#Headers],VEMatrix[]))</f>
        <v>Low</v>
      </c>
      <c r="P113" s="22">
        <f>_xlfn.XLOOKUP(RiskStatements[[#This Row],[Risk Rating - Present]],RatingOrder[Rating Order],RatingOrder[Rating Score],0,0)</f>
        <v>1</v>
      </c>
      <c r="Q113" s="22">
        <f>_xlfn.XLOOKUP(RiskStatements[[#This Row],[Risk Rating - 2050]],RatingOrder[Rating Order],RatingOrder[Rating Score],0,0)</f>
        <v>1</v>
      </c>
      <c r="R113" s="22">
        <f>_xlfn.XLOOKUP(RiskStatements[[#This Row],[Risk Rating - 2100]],RatingOrder[Rating Order],RatingOrder[Rating Score],0,0)</f>
        <v>1</v>
      </c>
      <c r="S11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14" spans="1:19" hidden="1" x14ac:dyDescent="0.35">
      <c r="A114" s="22" t="s">
        <v>46</v>
      </c>
      <c r="B114" s="22" t="s">
        <v>221</v>
      </c>
      <c r="C114" s="22" t="s">
        <v>457</v>
      </c>
      <c r="D114" s="22" t="str">
        <f>"V - " &amp;RiskStatements[[#This Row],[Climate Variables/Explainers]]</f>
        <v>V - Marine Heat Waves</v>
      </c>
      <c r="E114" s="22" t="str">
        <f>"EP - " &amp;RiskStatements[[#This Row],[Climate Variables/Explainers]]</f>
        <v>EP - Marine Heat Waves</v>
      </c>
      <c r="F114" s="22" t="str">
        <f>"E2050 - " &amp;RiskStatements[[#This Row],[Climate Variables/Explainers]]</f>
        <v>E2050 - Marine Heat Waves</v>
      </c>
      <c r="G114" s="22" t="str">
        <f>"E2100 - " &amp;RiskStatements[[#This Row],[Climate Variables/Explainers]]</f>
        <v>E2100 - Marine Heat Waves</v>
      </c>
      <c r="H114" s="22" t="str" cm="1">
        <f t="array" ref="H114">_xlfn.XLOOKUP(RiskStatements[[#This Row],[Elements at Risk]],Final_VEValues[Elements at Risk],_xlfn.XLOOKUP(RiskStatements[[#This Row],[Vulnerability Header]],Final_VEValues[#Headers],Final_VEValues[]))</f>
        <v>N/A</v>
      </c>
      <c r="I114" s="22" t="str" cm="1">
        <f t="array" ref="I114">_xlfn.XLOOKUP(RiskStatements[[#This Row],[Elements at Risk]],Final_VEValues[Elements at Risk],_xlfn.XLOOKUP(RiskStatements[[#This Row],[Exposure Present Header]],Final_VEValues[#Headers],Final_VEValues[]))</f>
        <v>N/A</v>
      </c>
      <c r="J114" s="22" t="str" cm="1">
        <f t="array" ref="J114">_xlfn.XLOOKUP(RiskStatements[[#This Row],[Elements at Risk]],Final_VEValues[Elements at Risk],_xlfn.XLOOKUP(RiskStatements[[#This Row],[Exposure 2050 Header]],Final_VEValues[#Headers],Final_VEValues[]))</f>
        <v>N/A</v>
      </c>
      <c r="K114" s="22" t="str" cm="1">
        <f t="array" ref="K114">_xlfn.XLOOKUP(RiskStatements[[#This Row],[Elements at Risk]],Final_VEValues[Elements at Risk],_xlfn.XLOOKUP(RiskStatements[[#This Row],[Exposure 2100 Header]],Final_VEValues[#Headers],Final_VEValues[]))</f>
        <v>N/A</v>
      </c>
      <c r="L114" s="22" t="str">
        <f>_xlfn.CONCAT(RiskStatements[[#This Row],[Climate Variables/Explainers]]," risk to ",RiskStatements[[#This Row],[Elements at Risk]])</f>
        <v>Marine Heat Waves risk to Office / Shop / Admin Activities</v>
      </c>
      <c r="M114" s="22" t="str" cm="1">
        <f t="array" ref="M114">_xlfn.XLOOKUP(RiskStatements[[#This Row],[Vulnerability Rating]],VEMatrix[Vulnerability],_xlfn.XLOOKUP(RiskStatements[[#This Row],[Exposure Rating - Present]],VEMatrix[#Headers],VEMatrix[]))</f>
        <v>N/A</v>
      </c>
      <c r="N114" s="22" t="str" cm="1">
        <f t="array" ref="N114">_xlfn.XLOOKUP(RiskStatements[[#This Row],[Vulnerability Rating]],VEMatrix[Vulnerability],_xlfn.XLOOKUP(RiskStatements[[#This Row],[Exposure Rating - 2050]],VEMatrix[#Headers],VEMatrix[]))</f>
        <v>N/A</v>
      </c>
      <c r="O114" s="22" t="str" cm="1">
        <f t="array" ref="O114">_xlfn.XLOOKUP(RiskStatements[[#This Row],[Vulnerability Rating]],VEMatrix[Vulnerability],_xlfn.XLOOKUP(RiskStatements[[#This Row],[Exposure Rating - 2100]],VEMatrix[#Headers],VEMatrix[]))</f>
        <v>N/A</v>
      </c>
      <c r="P114" s="22">
        <f>_xlfn.XLOOKUP(RiskStatements[[#This Row],[Risk Rating - Present]],RatingOrder[Rating Order],RatingOrder[Rating Score],0,0)</f>
        <v>0</v>
      </c>
      <c r="Q114" s="22">
        <f>_xlfn.XLOOKUP(RiskStatements[[#This Row],[Risk Rating - 2050]],RatingOrder[Rating Order],RatingOrder[Rating Score],0,0)</f>
        <v>0</v>
      </c>
      <c r="R114" s="22">
        <f>_xlfn.XLOOKUP(RiskStatements[[#This Row],[Risk Rating - 2100]],RatingOrder[Rating Order],RatingOrder[Rating Score],0,0)</f>
        <v>0</v>
      </c>
      <c r="S11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15" spans="1:19" hidden="1" x14ac:dyDescent="0.35">
      <c r="A115" s="22" t="s">
        <v>46</v>
      </c>
      <c r="B115" s="22" t="s">
        <v>219</v>
      </c>
      <c r="C115" s="22" t="s">
        <v>457</v>
      </c>
      <c r="D115" s="22" t="str">
        <f>"V - " &amp;RiskStatements[[#This Row],[Climate Variables/Explainers]]</f>
        <v>V - Marine Heat Waves</v>
      </c>
      <c r="E115" s="22" t="str">
        <f>"EP - " &amp;RiskStatements[[#This Row],[Climate Variables/Explainers]]</f>
        <v>EP - Marine Heat Waves</v>
      </c>
      <c r="F115" s="22" t="str">
        <f>"E2050 - " &amp;RiskStatements[[#This Row],[Climate Variables/Explainers]]</f>
        <v>E2050 - Marine Heat Waves</v>
      </c>
      <c r="G115" s="22" t="str">
        <f>"E2100 - " &amp;RiskStatements[[#This Row],[Climate Variables/Explainers]]</f>
        <v>E2100 - Marine Heat Waves</v>
      </c>
      <c r="H115" s="22" t="str" cm="1">
        <f t="array" ref="H115">_xlfn.XLOOKUP(RiskStatements[[#This Row],[Elements at Risk]],Final_VEValues[Elements at Risk],_xlfn.XLOOKUP(RiskStatements[[#This Row],[Vulnerability Header]],Final_VEValues[#Headers],Final_VEValues[]))</f>
        <v>M</v>
      </c>
      <c r="I115" s="22" t="str" cm="1">
        <f t="array" ref="I115">_xlfn.XLOOKUP(RiskStatements[[#This Row],[Elements at Risk]],Final_VEValues[Elements at Risk],_xlfn.XLOOKUP(RiskStatements[[#This Row],[Exposure Present Header]],Final_VEValues[#Headers],Final_VEValues[]))</f>
        <v>M</v>
      </c>
      <c r="J115" s="22" t="str" cm="1">
        <f t="array" ref="J115">_xlfn.XLOOKUP(RiskStatements[[#This Row],[Elements at Risk]],Final_VEValues[Elements at Risk],_xlfn.XLOOKUP(RiskStatements[[#This Row],[Exposure 2050 Header]],Final_VEValues[#Headers],Final_VEValues[]))</f>
        <v>H</v>
      </c>
      <c r="K115" s="22" t="str" cm="1">
        <f t="array" ref="K115">_xlfn.XLOOKUP(RiskStatements[[#This Row],[Elements at Risk]],Final_VEValues[Elements at Risk],_xlfn.XLOOKUP(RiskStatements[[#This Row],[Exposure 2100 Header]],Final_VEValues[#Headers],Final_VEValues[]))</f>
        <v>E</v>
      </c>
      <c r="L115" s="22" t="str">
        <f>_xlfn.CONCAT(RiskStatements[[#This Row],[Climate Variables/Explainers]]," risk to ",RiskStatements[[#This Row],[Elements at Risk]])</f>
        <v>Marine Heat Waves risk to Goods Supply Activities</v>
      </c>
      <c r="M115" s="22" t="str" cm="1">
        <f t="array" ref="M115">_xlfn.XLOOKUP(RiskStatements[[#This Row],[Vulnerability Rating]],VEMatrix[Vulnerability],_xlfn.XLOOKUP(RiskStatements[[#This Row],[Exposure Rating - Present]],VEMatrix[#Headers],VEMatrix[]))</f>
        <v>Moderate</v>
      </c>
      <c r="N115" s="22" t="str" cm="1">
        <f t="array" ref="N115">_xlfn.XLOOKUP(RiskStatements[[#This Row],[Vulnerability Rating]],VEMatrix[Vulnerability],_xlfn.XLOOKUP(RiskStatements[[#This Row],[Exposure Rating - 2050]],VEMatrix[#Headers],VEMatrix[]))</f>
        <v>Moderate</v>
      </c>
      <c r="O115" s="22" t="str" cm="1">
        <f t="array" ref="O115">_xlfn.XLOOKUP(RiskStatements[[#This Row],[Vulnerability Rating]],VEMatrix[Vulnerability],_xlfn.XLOOKUP(RiskStatements[[#This Row],[Exposure Rating - 2100]],VEMatrix[#Headers],VEMatrix[]))</f>
        <v>High</v>
      </c>
      <c r="P115" s="22">
        <f>_xlfn.XLOOKUP(RiskStatements[[#This Row],[Risk Rating - Present]],RatingOrder[Rating Order],RatingOrder[Rating Score],0,0)</f>
        <v>2</v>
      </c>
      <c r="Q115" s="22">
        <f>_xlfn.XLOOKUP(RiskStatements[[#This Row],[Risk Rating - 2050]],RatingOrder[Rating Order],RatingOrder[Rating Score],0,0)</f>
        <v>2</v>
      </c>
      <c r="R115" s="22">
        <f>_xlfn.XLOOKUP(RiskStatements[[#This Row],[Risk Rating - 2100]],RatingOrder[Rating Order],RatingOrder[Rating Score],0,0)</f>
        <v>3</v>
      </c>
      <c r="S11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16" spans="1:19" hidden="1" x14ac:dyDescent="0.35">
      <c r="A116" s="22" t="s">
        <v>46</v>
      </c>
      <c r="B116" s="22" t="s">
        <v>217</v>
      </c>
      <c r="C116" s="22" t="s">
        <v>457</v>
      </c>
      <c r="D116" s="22" t="str">
        <f>"V - " &amp;RiskStatements[[#This Row],[Climate Variables/Explainers]]</f>
        <v>V - Marine Heat Waves</v>
      </c>
      <c r="E116" s="22" t="str">
        <f>"EP - " &amp;RiskStatements[[#This Row],[Climate Variables/Explainers]]</f>
        <v>EP - Marine Heat Waves</v>
      </c>
      <c r="F116" s="22" t="str">
        <f>"E2050 - " &amp;RiskStatements[[#This Row],[Climate Variables/Explainers]]</f>
        <v>E2050 - Marine Heat Waves</v>
      </c>
      <c r="G116" s="22" t="str">
        <f>"E2100 - " &amp;RiskStatements[[#This Row],[Climate Variables/Explainers]]</f>
        <v>E2100 - Marine Heat Waves</v>
      </c>
      <c r="H116" s="22" t="str" cm="1">
        <f t="array" ref="H116">_xlfn.XLOOKUP(RiskStatements[[#This Row],[Elements at Risk]],Final_VEValues[Elements at Risk],_xlfn.XLOOKUP(RiskStatements[[#This Row],[Vulnerability Header]],Final_VEValues[#Headers],Final_VEValues[]))</f>
        <v>N/A</v>
      </c>
      <c r="I116" s="22" t="str" cm="1">
        <f t="array" ref="I116">_xlfn.XLOOKUP(RiskStatements[[#This Row],[Elements at Risk]],Final_VEValues[Elements at Risk],_xlfn.XLOOKUP(RiskStatements[[#This Row],[Exposure Present Header]],Final_VEValues[#Headers],Final_VEValues[]))</f>
        <v>N/A</v>
      </c>
      <c r="J116" s="22" t="str" cm="1">
        <f t="array" ref="J116">_xlfn.XLOOKUP(RiskStatements[[#This Row],[Elements at Risk]],Final_VEValues[Elements at Risk],_xlfn.XLOOKUP(RiskStatements[[#This Row],[Exposure 2050 Header]],Final_VEValues[#Headers],Final_VEValues[]))</f>
        <v>N/A</v>
      </c>
      <c r="K116" s="22" t="str" cm="1">
        <f t="array" ref="K116">_xlfn.XLOOKUP(RiskStatements[[#This Row],[Elements at Risk]],Final_VEValues[Elements at Risk],_xlfn.XLOOKUP(RiskStatements[[#This Row],[Exposure 2100 Header]],Final_VEValues[#Headers],Final_VEValues[]))</f>
        <v>N/A</v>
      </c>
      <c r="L116" s="22" t="str">
        <f>_xlfn.CONCAT(RiskStatements[[#This Row],[Climate Variables/Explainers]]," risk to ",RiskStatements[[#This Row],[Elements at Risk]])</f>
        <v>Marine Heat Waves risk to Construction Activities</v>
      </c>
      <c r="M116" s="22" t="str" cm="1">
        <f t="array" ref="M116">_xlfn.XLOOKUP(RiskStatements[[#This Row],[Vulnerability Rating]],VEMatrix[Vulnerability],_xlfn.XLOOKUP(RiskStatements[[#This Row],[Exposure Rating - Present]],VEMatrix[#Headers],VEMatrix[]))</f>
        <v>N/A</v>
      </c>
      <c r="N116" s="22" t="str" cm="1">
        <f t="array" ref="N116">_xlfn.XLOOKUP(RiskStatements[[#This Row],[Vulnerability Rating]],VEMatrix[Vulnerability],_xlfn.XLOOKUP(RiskStatements[[#This Row],[Exposure Rating - 2050]],VEMatrix[#Headers],VEMatrix[]))</f>
        <v>N/A</v>
      </c>
      <c r="O116" s="22" t="str" cm="1">
        <f t="array" ref="O116">_xlfn.XLOOKUP(RiskStatements[[#This Row],[Vulnerability Rating]],VEMatrix[Vulnerability],_xlfn.XLOOKUP(RiskStatements[[#This Row],[Exposure Rating - 2100]],VEMatrix[#Headers],VEMatrix[]))</f>
        <v>N/A</v>
      </c>
      <c r="P116" s="22">
        <f>_xlfn.XLOOKUP(RiskStatements[[#This Row],[Risk Rating - Present]],RatingOrder[Rating Order],RatingOrder[Rating Score],0,0)</f>
        <v>0</v>
      </c>
      <c r="Q116" s="22">
        <f>_xlfn.XLOOKUP(RiskStatements[[#This Row],[Risk Rating - 2050]],RatingOrder[Rating Order],RatingOrder[Rating Score],0,0)</f>
        <v>0</v>
      </c>
      <c r="R116" s="22">
        <f>_xlfn.XLOOKUP(RiskStatements[[#This Row],[Risk Rating - 2100]],RatingOrder[Rating Order],RatingOrder[Rating Score],0,0)</f>
        <v>0</v>
      </c>
      <c r="S11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17" spans="1:19" x14ac:dyDescent="0.35">
      <c r="A117" s="22" t="s">
        <v>111</v>
      </c>
      <c r="B117" s="22" t="s">
        <v>112</v>
      </c>
      <c r="C117" s="22" t="s">
        <v>137</v>
      </c>
      <c r="D117" s="22" t="str">
        <f>"V - " &amp;RiskStatements[[#This Row],[Climate Variables/Explainers]]</f>
        <v>V - Ocean Acidification</v>
      </c>
      <c r="E117" s="22" t="str">
        <f>"EP - " &amp;RiskStatements[[#This Row],[Climate Variables/Explainers]]</f>
        <v>EP - Ocean Acidification</v>
      </c>
      <c r="F117" s="22" t="str">
        <f>"E2050 - " &amp;RiskStatements[[#This Row],[Climate Variables/Explainers]]</f>
        <v>E2050 - Ocean Acidification</v>
      </c>
      <c r="G117" s="22" t="str">
        <f>"E2100 - " &amp;RiskStatements[[#This Row],[Climate Variables/Explainers]]</f>
        <v>E2100 - Ocean Acidification</v>
      </c>
      <c r="H117" s="22" t="str" cm="1">
        <f t="array" ref="H117">_xlfn.XLOOKUP(RiskStatements[[#This Row],[Elements at Risk]],Final_VEValues[Elements at Risk],_xlfn.XLOOKUP(RiskStatements[[#This Row],[Vulnerability Header]],Final_VEValues[#Headers],Final_VEValues[]))</f>
        <v>E</v>
      </c>
      <c r="I117" s="22" t="str" cm="1">
        <f t="array" ref="I117">_xlfn.XLOOKUP(RiskStatements[[#This Row],[Elements at Risk]],Final_VEValues[Elements at Risk],_xlfn.XLOOKUP(RiskStatements[[#This Row],[Exposure Present Header]],Final_VEValues[#Headers],Final_VEValues[]))</f>
        <v>H</v>
      </c>
      <c r="J117" s="22" t="str" cm="1">
        <f t="array" ref="J117">_xlfn.XLOOKUP(RiskStatements[[#This Row],[Elements at Risk]],Final_VEValues[Elements at Risk],_xlfn.XLOOKUP(RiskStatements[[#This Row],[Exposure 2050 Header]],Final_VEValues[#Headers],Final_VEValues[]))</f>
        <v>H</v>
      </c>
      <c r="K117" s="22" t="str" cm="1">
        <f t="array" ref="K117">_xlfn.XLOOKUP(RiskStatements[[#This Row],[Elements at Risk]],Final_VEValues[Elements at Risk],_xlfn.XLOOKUP(RiskStatements[[#This Row],[Exposure 2100 Header]],Final_VEValues[#Headers],Final_VEValues[]))</f>
        <v>E</v>
      </c>
      <c r="L117" s="22" t="str">
        <f>_xlfn.CONCAT(RiskStatements[[#This Row],[Climate Variables/Explainers]]," risk to ",RiskStatements[[#This Row],[Elements at Risk]])</f>
        <v>Ocean Acidification risk to Coastal / Marine Ecosystems</v>
      </c>
      <c r="M117" s="22" t="str" cm="1">
        <f t="array" ref="M117">_xlfn.XLOOKUP(RiskStatements[[#This Row],[Vulnerability Rating]],VEMatrix[Vulnerability],_xlfn.XLOOKUP(RiskStatements[[#This Row],[Exposure Rating - Present]],VEMatrix[#Headers],VEMatrix[]))</f>
        <v>Extreme</v>
      </c>
      <c r="N117" s="22" t="str" cm="1">
        <f t="array" ref="N117">_xlfn.XLOOKUP(RiskStatements[[#This Row],[Vulnerability Rating]],VEMatrix[Vulnerability],_xlfn.XLOOKUP(RiskStatements[[#This Row],[Exposure Rating - 2050]],VEMatrix[#Headers],VEMatrix[]))</f>
        <v>Extreme</v>
      </c>
      <c r="O117" s="22" t="str" cm="1">
        <f t="array" ref="O117">_xlfn.XLOOKUP(RiskStatements[[#This Row],[Vulnerability Rating]],VEMatrix[Vulnerability],_xlfn.XLOOKUP(RiskStatements[[#This Row],[Exposure Rating - 2100]],VEMatrix[#Headers],VEMatrix[]))</f>
        <v>Extreme</v>
      </c>
      <c r="P117" s="22">
        <f>_xlfn.XLOOKUP(RiskStatements[[#This Row],[Risk Rating - Present]],RatingOrder[Rating Order],RatingOrder[Rating Score],0,0)</f>
        <v>4</v>
      </c>
      <c r="Q117" s="22">
        <f>_xlfn.XLOOKUP(RiskStatements[[#This Row],[Risk Rating - 2050]],RatingOrder[Rating Order],RatingOrder[Rating Score],0,0)</f>
        <v>4</v>
      </c>
      <c r="R117" s="22">
        <f>_xlfn.XLOOKUP(RiskStatements[[#This Row],[Risk Rating - 2100]],RatingOrder[Rating Order],RatingOrder[Rating Score],0,0)</f>
        <v>4</v>
      </c>
      <c r="S11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18" spans="1:19" hidden="1" x14ac:dyDescent="0.35">
      <c r="A118" s="22" t="s">
        <v>111</v>
      </c>
      <c r="B118" s="22" t="s">
        <v>117</v>
      </c>
      <c r="C118" s="22" t="s">
        <v>137</v>
      </c>
      <c r="D118" s="22" t="str">
        <f>"V - " &amp;RiskStatements[[#This Row],[Climate Variables/Explainers]]</f>
        <v>V - Ocean Acidification</v>
      </c>
      <c r="E118" s="22" t="str">
        <f>"EP - " &amp;RiskStatements[[#This Row],[Climate Variables/Explainers]]</f>
        <v>EP - Ocean Acidification</v>
      </c>
      <c r="F118" s="22" t="str">
        <f>"E2050 - " &amp;RiskStatements[[#This Row],[Climate Variables/Explainers]]</f>
        <v>E2050 - Ocean Acidification</v>
      </c>
      <c r="G118" s="22" t="str">
        <f>"E2100 - " &amp;RiskStatements[[#This Row],[Climate Variables/Explainers]]</f>
        <v>E2100 - Ocean Acidification</v>
      </c>
      <c r="H118" s="22" t="str" cm="1">
        <f t="array" ref="H118">_xlfn.XLOOKUP(RiskStatements[[#This Row],[Elements at Risk]],Final_VEValues[Elements at Risk],_xlfn.XLOOKUP(RiskStatements[[#This Row],[Vulnerability Header]],Final_VEValues[#Headers],Final_VEValues[]))</f>
        <v>N/A</v>
      </c>
      <c r="I118" s="22" t="str" cm="1">
        <f t="array" ref="I118">_xlfn.XLOOKUP(RiskStatements[[#This Row],[Elements at Risk]],Final_VEValues[Elements at Risk],_xlfn.XLOOKUP(RiskStatements[[#This Row],[Exposure Present Header]],Final_VEValues[#Headers],Final_VEValues[]))</f>
        <v>N/A</v>
      </c>
      <c r="J118" s="22" t="str" cm="1">
        <f t="array" ref="J118">_xlfn.XLOOKUP(RiskStatements[[#This Row],[Elements at Risk]],Final_VEValues[Elements at Risk],_xlfn.XLOOKUP(RiskStatements[[#This Row],[Exposure 2050 Header]],Final_VEValues[#Headers],Final_VEValues[]))</f>
        <v>N/A</v>
      </c>
      <c r="K118" s="22" t="str" cm="1">
        <f t="array" ref="K118">_xlfn.XLOOKUP(RiskStatements[[#This Row],[Elements at Risk]],Final_VEValues[Elements at Risk],_xlfn.XLOOKUP(RiskStatements[[#This Row],[Exposure 2100 Header]],Final_VEValues[#Headers],Final_VEValues[]))</f>
        <v>N/A</v>
      </c>
      <c r="L118" s="22" t="str">
        <f>_xlfn.CONCAT(RiskStatements[[#This Row],[Climate Variables/Explainers]]," risk to ",RiskStatements[[#This Row],[Elements at Risk]])</f>
        <v>Ocean Acidification risk to Terrestrial Ecosystems</v>
      </c>
      <c r="M118" s="22" t="str" cm="1">
        <f t="array" ref="M118">_xlfn.XLOOKUP(RiskStatements[[#This Row],[Vulnerability Rating]],VEMatrix[Vulnerability],_xlfn.XLOOKUP(RiskStatements[[#This Row],[Exposure Rating - Present]],VEMatrix[#Headers],VEMatrix[]))</f>
        <v>N/A</v>
      </c>
      <c r="N118" s="22" t="str" cm="1">
        <f t="array" ref="N118">_xlfn.XLOOKUP(RiskStatements[[#This Row],[Vulnerability Rating]],VEMatrix[Vulnerability],_xlfn.XLOOKUP(RiskStatements[[#This Row],[Exposure Rating - 2050]],VEMatrix[#Headers],VEMatrix[]))</f>
        <v>N/A</v>
      </c>
      <c r="O118" s="22" t="str" cm="1">
        <f t="array" ref="O118">_xlfn.XLOOKUP(RiskStatements[[#This Row],[Vulnerability Rating]],VEMatrix[Vulnerability],_xlfn.XLOOKUP(RiskStatements[[#This Row],[Exposure Rating - 2100]],VEMatrix[#Headers],VEMatrix[]))</f>
        <v>N/A</v>
      </c>
      <c r="P118" s="22">
        <f>_xlfn.XLOOKUP(RiskStatements[[#This Row],[Risk Rating - Present]],RatingOrder[Rating Order],RatingOrder[Rating Score],0,0)</f>
        <v>0</v>
      </c>
      <c r="Q118" s="22">
        <f>_xlfn.XLOOKUP(RiskStatements[[#This Row],[Risk Rating - 2050]],RatingOrder[Rating Order],RatingOrder[Rating Score],0,0)</f>
        <v>0</v>
      </c>
      <c r="R118" s="22">
        <f>_xlfn.XLOOKUP(RiskStatements[[#This Row],[Risk Rating - 2100]],RatingOrder[Rating Order],RatingOrder[Rating Score],0,0)</f>
        <v>0</v>
      </c>
      <c r="S11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19" spans="1:19" hidden="1" x14ac:dyDescent="0.35">
      <c r="A119" s="22" t="s">
        <v>111</v>
      </c>
      <c r="B119" s="22" t="s">
        <v>119</v>
      </c>
      <c r="C119" s="22" t="s">
        <v>137</v>
      </c>
      <c r="D119" s="22" t="str">
        <f>"V - " &amp;RiskStatements[[#This Row],[Climate Variables/Explainers]]</f>
        <v>V - Ocean Acidification</v>
      </c>
      <c r="E119" s="22" t="str">
        <f>"EP - " &amp;RiskStatements[[#This Row],[Climate Variables/Explainers]]</f>
        <v>EP - Ocean Acidification</v>
      </c>
      <c r="F119" s="22" t="str">
        <f>"E2050 - " &amp;RiskStatements[[#This Row],[Climate Variables/Explainers]]</f>
        <v>E2050 - Ocean Acidification</v>
      </c>
      <c r="G119" s="22" t="str">
        <f>"E2100 - " &amp;RiskStatements[[#This Row],[Climate Variables/Explainers]]</f>
        <v>E2100 - Ocean Acidification</v>
      </c>
      <c r="H119" s="22" t="str" cm="1">
        <f t="array" ref="H119">_xlfn.XLOOKUP(RiskStatements[[#This Row],[Elements at Risk]],Final_VEValues[Elements at Risk],_xlfn.XLOOKUP(RiskStatements[[#This Row],[Vulnerability Header]],Final_VEValues[#Headers],Final_VEValues[]))</f>
        <v>N/A</v>
      </c>
      <c r="I119" s="22" t="str" cm="1">
        <f t="array" ref="I119">_xlfn.XLOOKUP(RiskStatements[[#This Row],[Elements at Risk]],Final_VEValues[Elements at Risk],_xlfn.XLOOKUP(RiskStatements[[#This Row],[Exposure Present Header]],Final_VEValues[#Headers],Final_VEValues[]))</f>
        <v>N/A</v>
      </c>
      <c r="J119" s="22" t="str" cm="1">
        <f t="array" ref="J119">_xlfn.XLOOKUP(RiskStatements[[#This Row],[Elements at Risk]],Final_VEValues[Elements at Risk],_xlfn.XLOOKUP(RiskStatements[[#This Row],[Exposure 2050 Header]],Final_VEValues[#Headers],Final_VEValues[]))</f>
        <v>N/A</v>
      </c>
      <c r="K119" s="22" t="str" cm="1">
        <f t="array" ref="K119">_xlfn.XLOOKUP(RiskStatements[[#This Row],[Elements at Risk]],Final_VEValues[Elements at Risk],_xlfn.XLOOKUP(RiskStatements[[#This Row],[Exposure 2100 Header]],Final_VEValues[#Headers],Final_VEValues[]))</f>
        <v>N/A</v>
      </c>
      <c r="L119" s="22" t="str">
        <f>_xlfn.CONCAT(RiskStatements[[#This Row],[Climate Variables/Explainers]]," risk to ",RiskStatements[[#This Row],[Elements at Risk]])</f>
        <v>Ocean Acidification risk to Freshwater Ecosystems</v>
      </c>
      <c r="M119" s="22" t="str" cm="1">
        <f t="array" ref="M119">_xlfn.XLOOKUP(RiskStatements[[#This Row],[Vulnerability Rating]],VEMatrix[Vulnerability],_xlfn.XLOOKUP(RiskStatements[[#This Row],[Exposure Rating - Present]],VEMatrix[#Headers],VEMatrix[]))</f>
        <v>N/A</v>
      </c>
      <c r="N119" s="22" t="str" cm="1">
        <f t="array" ref="N119">_xlfn.XLOOKUP(RiskStatements[[#This Row],[Vulnerability Rating]],VEMatrix[Vulnerability],_xlfn.XLOOKUP(RiskStatements[[#This Row],[Exposure Rating - 2050]],VEMatrix[#Headers],VEMatrix[]))</f>
        <v>N/A</v>
      </c>
      <c r="O119" s="22" t="str" cm="1">
        <f t="array" ref="O119">_xlfn.XLOOKUP(RiskStatements[[#This Row],[Vulnerability Rating]],VEMatrix[Vulnerability],_xlfn.XLOOKUP(RiskStatements[[#This Row],[Exposure Rating - 2100]],VEMatrix[#Headers],VEMatrix[]))</f>
        <v>N/A</v>
      </c>
      <c r="P119" s="22">
        <f>_xlfn.XLOOKUP(RiskStatements[[#This Row],[Risk Rating - Present]],RatingOrder[Rating Order],RatingOrder[Rating Score],0,0)</f>
        <v>0</v>
      </c>
      <c r="Q119" s="22">
        <f>_xlfn.XLOOKUP(RiskStatements[[#This Row],[Risk Rating - 2050]],RatingOrder[Rating Order],RatingOrder[Rating Score],0,0)</f>
        <v>0</v>
      </c>
      <c r="R119" s="22">
        <f>_xlfn.XLOOKUP(RiskStatements[[#This Row],[Risk Rating - 2100]],RatingOrder[Rating Order],RatingOrder[Rating Score],0,0)</f>
        <v>0</v>
      </c>
      <c r="S11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20" spans="1:19" hidden="1" x14ac:dyDescent="0.35">
      <c r="A120" s="22" t="s">
        <v>120</v>
      </c>
      <c r="B120" s="22" t="s">
        <v>210</v>
      </c>
      <c r="C120" s="22" t="s">
        <v>137</v>
      </c>
      <c r="D120" s="22" t="str">
        <f>"V - " &amp;RiskStatements[[#This Row],[Climate Variables/Explainers]]</f>
        <v>V - Ocean Acidification</v>
      </c>
      <c r="E120" s="22" t="str">
        <f>"EP - " &amp;RiskStatements[[#This Row],[Climate Variables/Explainers]]</f>
        <v>EP - Ocean Acidification</v>
      </c>
      <c r="F120" s="22" t="str">
        <f>"E2050 - " &amp;RiskStatements[[#This Row],[Climate Variables/Explainers]]</f>
        <v>E2050 - Ocean Acidification</v>
      </c>
      <c r="G120" s="22" t="str">
        <f>"E2100 - " &amp;RiskStatements[[#This Row],[Climate Variables/Explainers]]</f>
        <v>E2100 - Ocean Acidification</v>
      </c>
      <c r="H120" s="22" t="str" cm="1">
        <f t="array" ref="H120">_xlfn.XLOOKUP(RiskStatements[[#This Row],[Elements at Risk]],Final_VEValues[Elements at Risk],_xlfn.XLOOKUP(RiskStatements[[#This Row],[Vulnerability Header]],Final_VEValues[#Headers],Final_VEValues[]))</f>
        <v>N/A</v>
      </c>
      <c r="I120" s="22" t="str" cm="1">
        <f t="array" ref="I120">_xlfn.XLOOKUP(RiskStatements[[#This Row],[Elements at Risk]],Final_VEValues[Elements at Risk],_xlfn.XLOOKUP(RiskStatements[[#This Row],[Exposure Present Header]],Final_VEValues[#Headers],Final_VEValues[]))</f>
        <v>N/A</v>
      </c>
      <c r="J120" s="22" t="str" cm="1">
        <f t="array" ref="J120">_xlfn.XLOOKUP(RiskStatements[[#This Row],[Elements at Risk]],Final_VEValues[Elements at Risk],_xlfn.XLOOKUP(RiskStatements[[#This Row],[Exposure 2050 Header]],Final_VEValues[#Headers],Final_VEValues[]))</f>
        <v>N/A</v>
      </c>
      <c r="K120" s="22" t="str" cm="1">
        <f t="array" ref="K120">_xlfn.XLOOKUP(RiskStatements[[#This Row],[Elements at Risk]],Final_VEValues[Elements at Risk],_xlfn.XLOOKUP(RiskStatements[[#This Row],[Exposure 2100 Header]],Final_VEValues[#Headers],Final_VEValues[]))</f>
        <v>N/A</v>
      </c>
      <c r="L120" s="22" t="str">
        <f>_xlfn.CONCAT(RiskStatements[[#This Row],[Climate Variables/Explainers]]," risk to ",RiskStatements[[#This Row],[Elements at Risk]])</f>
        <v>Ocean Acidification risk to Inhabited Buildings</v>
      </c>
      <c r="M120" s="22" t="str" cm="1">
        <f t="array" ref="M120">_xlfn.XLOOKUP(RiskStatements[[#This Row],[Vulnerability Rating]],VEMatrix[Vulnerability],_xlfn.XLOOKUP(RiskStatements[[#This Row],[Exposure Rating - Present]],VEMatrix[#Headers],VEMatrix[]))</f>
        <v>N/A</v>
      </c>
      <c r="N120" s="22" t="str" cm="1">
        <f t="array" ref="N120">_xlfn.XLOOKUP(RiskStatements[[#This Row],[Vulnerability Rating]],VEMatrix[Vulnerability],_xlfn.XLOOKUP(RiskStatements[[#This Row],[Exposure Rating - 2050]],VEMatrix[#Headers],VEMatrix[]))</f>
        <v>N/A</v>
      </c>
      <c r="O120" s="22" t="str" cm="1">
        <f t="array" ref="O120">_xlfn.XLOOKUP(RiskStatements[[#This Row],[Vulnerability Rating]],VEMatrix[Vulnerability],_xlfn.XLOOKUP(RiskStatements[[#This Row],[Exposure Rating - 2100]],VEMatrix[#Headers],VEMatrix[]))</f>
        <v>N/A</v>
      </c>
      <c r="P120" s="22">
        <f>_xlfn.XLOOKUP(RiskStatements[[#This Row],[Risk Rating - Present]],RatingOrder[Rating Order],RatingOrder[Rating Score],0,0)</f>
        <v>0</v>
      </c>
      <c r="Q120" s="22">
        <f>_xlfn.XLOOKUP(RiskStatements[[#This Row],[Risk Rating - 2050]],RatingOrder[Rating Order],RatingOrder[Rating Score],0,0)</f>
        <v>0</v>
      </c>
      <c r="R120" s="22">
        <f>_xlfn.XLOOKUP(RiskStatements[[#This Row],[Risk Rating - 2100]],RatingOrder[Rating Order],RatingOrder[Rating Score],0,0)</f>
        <v>0</v>
      </c>
      <c r="S12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21" spans="1:19" hidden="1" x14ac:dyDescent="0.35">
      <c r="A121" s="22" t="s">
        <v>120</v>
      </c>
      <c r="B121" s="22" t="s">
        <v>218</v>
      </c>
      <c r="C121" s="22" t="s">
        <v>137</v>
      </c>
      <c r="D121" s="22" t="str">
        <f>"V - " &amp;RiskStatements[[#This Row],[Climate Variables/Explainers]]</f>
        <v>V - Ocean Acidification</v>
      </c>
      <c r="E121" s="22" t="str">
        <f>"EP - " &amp;RiskStatements[[#This Row],[Climate Variables/Explainers]]</f>
        <v>EP - Ocean Acidification</v>
      </c>
      <c r="F121" s="22" t="str">
        <f>"E2050 - " &amp;RiskStatements[[#This Row],[Climate Variables/Explainers]]</f>
        <v>E2050 - Ocean Acidification</v>
      </c>
      <c r="G121" s="22" t="str">
        <f>"E2100 - " &amp;RiskStatements[[#This Row],[Climate Variables/Explainers]]</f>
        <v>E2100 - Ocean Acidification</v>
      </c>
      <c r="H121" s="22" t="str" cm="1">
        <f t="array" ref="H121">_xlfn.XLOOKUP(RiskStatements[[#This Row],[Elements at Risk]],Final_VEValues[Elements at Risk],_xlfn.XLOOKUP(RiskStatements[[#This Row],[Vulnerability Header]],Final_VEValues[#Headers],Final_VEValues[]))</f>
        <v>L</v>
      </c>
      <c r="I121" s="22" t="str" cm="1">
        <f t="array" ref="I121">_xlfn.XLOOKUP(RiskStatements[[#This Row],[Elements at Risk]],Final_VEValues[Elements at Risk],_xlfn.XLOOKUP(RiskStatements[[#This Row],[Exposure Present Header]],Final_VEValues[#Headers],Final_VEValues[]))</f>
        <v>M</v>
      </c>
      <c r="J121" s="22" t="str" cm="1">
        <f t="array" ref="J121">_xlfn.XLOOKUP(RiskStatements[[#This Row],[Elements at Risk]],Final_VEValues[Elements at Risk],_xlfn.XLOOKUP(RiskStatements[[#This Row],[Exposure 2050 Header]],Final_VEValues[#Headers],Final_VEValues[]))</f>
        <v>H</v>
      </c>
      <c r="K121" s="22" t="str" cm="1">
        <f t="array" ref="K121">_xlfn.XLOOKUP(RiskStatements[[#This Row],[Elements at Risk]],Final_VEValues[Elements at Risk],_xlfn.XLOOKUP(RiskStatements[[#This Row],[Exposure 2100 Header]],Final_VEValues[#Headers],Final_VEValues[]))</f>
        <v>H</v>
      </c>
      <c r="L121" s="22" t="str">
        <f>_xlfn.CONCAT(RiskStatements[[#This Row],[Climate Variables/Explainers]]," risk to ",RiskStatements[[#This Row],[Elements at Risk]])</f>
        <v>Ocean Acidification risk to Ports / Wharves</v>
      </c>
      <c r="M121" s="22" t="str" cm="1">
        <f t="array" ref="M121">_xlfn.XLOOKUP(RiskStatements[[#This Row],[Vulnerability Rating]],VEMatrix[Vulnerability],_xlfn.XLOOKUP(RiskStatements[[#This Row],[Exposure Rating - Present]],VEMatrix[#Headers],VEMatrix[]))</f>
        <v>Low</v>
      </c>
      <c r="N121" s="22" t="str" cm="1">
        <f t="array" ref="N121">_xlfn.XLOOKUP(RiskStatements[[#This Row],[Vulnerability Rating]],VEMatrix[Vulnerability],_xlfn.XLOOKUP(RiskStatements[[#This Row],[Exposure Rating - 2050]],VEMatrix[#Headers],VEMatrix[]))</f>
        <v>Moderate</v>
      </c>
      <c r="O121" s="22" t="str" cm="1">
        <f t="array" ref="O121">_xlfn.XLOOKUP(RiskStatements[[#This Row],[Vulnerability Rating]],VEMatrix[Vulnerability],_xlfn.XLOOKUP(RiskStatements[[#This Row],[Exposure Rating - 2100]],VEMatrix[#Headers],VEMatrix[]))</f>
        <v>Moderate</v>
      </c>
      <c r="P121" s="22">
        <f>_xlfn.XLOOKUP(RiskStatements[[#This Row],[Risk Rating - Present]],RatingOrder[Rating Order],RatingOrder[Rating Score],0,0)</f>
        <v>1</v>
      </c>
      <c r="Q121" s="22">
        <f>_xlfn.XLOOKUP(RiskStatements[[#This Row],[Risk Rating - 2050]],RatingOrder[Rating Order],RatingOrder[Rating Score],0,0)</f>
        <v>2</v>
      </c>
      <c r="R121" s="22">
        <f>_xlfn.XLOOKUP(RiskStatements[[#This Row],[Risk Rating - 2100]],RatingOrder[Rating Order],RatingOrder[Rating Score],0,0)</f>
        <v>2</v>
      </c>
      <c r="S12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22" spans="1:19" hidden="1" x14ac:dyDescent="0.35">
      <c r="A122" s="22" t="s">
        <v>120</v>
      </c>
      <c r="B122" s="22" t="s">
        <v>220</v>
      </c>
      <c r="C122" s="22" t="s">
        <v>137</v>
      </c>
      <c r="D122" s="22" t="str">
        <f>"V - " &amp;RiskStatements[[#This Row],[Climate Variables/Explainers]]</f>
        <v>V - Ocean Acidification</v>
      </c>
      <c r="E122" s="22" t="str">
        <f>"EP - " &amp;RiskStatements[[#This Row],[Climate Variables/Explainers]]</f>
        <v>EP - Ocean Acidification</v>
      </c>
      <c r="F122" s="22" t="str">
        <f>"E2050 - " &amp;RiskStatements[[#This Row],[Climate Variables/Explainers]]</f>
        <v>E2050 - Ocean Acidification</v>
      </c>
      <c r="G122" s="22" t="str">
        <f>"E2100 - " &amp;RiskStatements[[#This Row],[Climate Variables/Explainers]]</f>
        <v>E2100 - Ocean Acidification</v>
      </c>
      <c r="H122" s="22" t="str" cm="1">
        <f t="array" ref="H122">_xlfn.XLOOKUP(RiskStatements[[#This Row],[Elements at Risk]],Final_VEValues[Elements at Risk],_xlfn.XLOOKUP(RiskStatements[[#This Row],[Vulnerability Header]],Final_VEValues[#Headers],Final_VEValues[]))</f>
        <v>N/A</v>
      </c>
      <c r="I122" s="22" t="str" cm="1">
        <f t="array" ref="I122">_xlfn.XLOOKUP(RiskStatements[[#This Row],[Elements at Risk]],Final_VEValues[Elements at Risk],_xlfn.XLOOKUP(RiskStatements[[#This Row],[Exposure Present Header]],Final_VEValues[#Headers],Final_VEValues[]))</f>
        <v>N/A</v>
      </c>
      <c r="J122" s="22" t="str" cm="1">
        <f t="array" ref="J122">_xlfn.XLOOKUP(RiskStatements[[#This Row],[Elements at Risk]],Final_VEValues[Elements at Risk],_xlfn.XLOOKUP(RiskStatements[[#This Row],[Exposure 2050 Header]],Final_VEValues[#Headers],Final_VEValues[]))</f>
        <v>N/A</v>
      </c>
      <c r="K122" s="22" t="str" cm="1">
        <f t="array" ref="K122">_xlfn.XLOOKUP(RiskStatements[[#This Row],[Elements at Risk]],Final_VEValues[Elements at Risk],_xlfn.XLOOKUP(RiskStatements[[#This Row],[Exposure 2100 Header]],Final_VEValues[#Headers],Final_VEValues[]))</f>
        <v>N/A</v>
      </c>
      <c r="L122" s="22" t="str">
        <f>_xlfn.CONCAT(RiskStatements[[#This Row],[Climate Variables/Explainers]]," risk to ",RiskStatements[[#This Row],[Elements at Risk]])</f>
        <v>Ocean Acidification risk to Airports / Airfields</v>
      </c>
      <c r="M122" s="22" t="str" cm="1">
        <f t="array" ref="M122">_xlfn.XLOOKUP(RiskStatements[[#This Row],[Vulnerability Rating]],VEMatrix[Vulnerability],_xlfn.XLOOKUP(RiskStatements[[#This Row],[Exposure Rating - Present]],VEMatrix[#Headers],VEMatrix[]))</f>
        <v>N/A</v>
      </c>
      <c r="N122" s="22" t="str" cm="1">
        <f t="array" ref="N122">_xlfn.XLOOKUP(RiskStatements[[#This Row],[Vulnerability Rating]],VEMatrix[Vulnerability],_xlfn.XLOOKUP(RiskStatements[[#This Row],[Exposure Rating - 2050]],VEMatrix[#Headers],VEMatrix[]))</f>
        <v>N/A</v>
      </c>
      <c r="O122" s="22" t="str" cm="1">
        <f t="array" ref="O122">_xlfn.XLOOKUP(RiskStatements[[#This Row],[Vulnerability Rating]],VEMatrix[Vulnerability],_xlfn.XLOOKUP(RiskStatements[[#This Row],[Exposure Rating - 2100]],VEMatrix[#Headers],VEMatrix[]))</f>
        <v>N/A</v>
      </c>
      <c r="P122" s="22">
        <f>_xlfn.XLOOKUP(RiskStatements[[#This Row],[Risk Rating - Present]],RatingOrder[Rating Order],RatingOrder[Rating Score],0,0)</f>
        <v>0</v>
      </c>
      <c r="Q122" s="22">
        <f>_xlfn.XLOOKUP(RiskStatements[[#This Row],[Risk Rating - 2050]],RatingOrder[Rating Order],RatingOrder[Rating Score],0,0)</f>
        <v>0</v>
      </c>
      <c r="R122" s="22">
        <f>_xlfn.XLOOKUP(RiskStatements[[#This Row],[Risk Rating - 2100]],RatingOrder[Rating Order],RatingOrder[Rating Score],0,0)</f>
        <v>0</v>
      </c>
      <c r="S12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23" spans="1:19" hidden="1" x14ac:dyDescent="0.35">
      <c r="A123" s="22" t="s">
        <v>120</v>
      </c>
      <c r="B123" s="22" t="s">
        <v>67</v>
      </c>
      <c r="C123" s="22" t="s">
        <v>137</v>
      </c>
      <c r="D123" s="22" t="str">
        <f>"V - " &amp;RiskStatements[[#This Row],[Climate Variables/Explainers]]</f>
        <v>V - Ocean Acidification</v>
      </c>
      <c r="E123" s="22" t="str">
        <f>"EP - " &amp;RiskStatements[[#This Row],[Climate Variables/Explainers]]</f>
        <v>EP - Ocean Acidification</v>
      </c>
      <c r="F123" s="22" t="str">
        <f>"E2050 - " &amp;RiskStatements[[#This Row],[Climate Variables/Explainers]]</f>
        <v>E2050 - Ocean Acidification</v>
      </c>
      <c r="G123" s="22" t="str">
        <f>"E2100 - " &amp;RiskStatements[[#This Row],[Climate Variables/Explainers]]</f>
        <v>E2100 - Ocean Acidification</v>
      </c>
      <c r="H123" s="22" t="str" cm="1">
        <f t="array" ref="H123">_xlfn.XLOOKUP(RiskStatements[[#This Row],[Elements at Risk]],Final_VEValues[Elements at Risk],_xlfn.XLOOKUP(RiskStatements[[#This Row],[Vulnerability Header]],Final_VEValues[#Headers],Final_VEValues[]))</f>
        <v>N/A</v>
      </c>
      <c r="I123" s="22" t="str" cm="1">
        <f t="array" ref="I123">_xlfn.XLOOKUP(RiskStatements[[#This Row],[Elements at Risk]],Final_VEValues[Elements at Risk],_xlfn.XLOOKUP(RiskStatements[[#This Row],[Exposure Present Header]],Final_VEValues[#Headers],Final_VEValues[]))</f>
        <v>N/A</v>
      </c>
      <c r="J123" s="22" t="str" cm="1">
        <f t="array" ref="J123">_xlfn.XLOOKUP(RiskStatements[[#This Row],[Elements at Risk]],Final_VEValues[Elements at Risk],_xlfn.XLOOKUP(RiskStatements[[#This Row],[Exposure 2050 Header]],Final_VEValues[#Headers],Final_VEValues[]))</f>
        <v>N/A</v>
      </c>
      <c r="K123" s="22" t="str" cm="1">
        <f t="array" ref="K123">_xlfn.XLOOKUP(RiskStatements[[#This Row],[Elements at Risk]],Final_VEValues[Elements at Risk],_xlfn.XLOOKUP(RiskStatements[[#This Row],[Exposure 2100 Header]],Final_VEValues[#Headers],Final_VEValues[]))</f>
        <v>N/A</v>
      </c>
      <c r="L123" s="22" t="str">
        <f>_xlfn.CONCAT(RiskStatements[[#This Row],[Climate Variables/Explainers]]," risk to ",RiskStatements[[#This Row],[Elements at Risk]])</f>
        <v>Ocean Acidification risk to Telecommunications</v>
      </c>
      <c r="M123" s="22" t="str" cm="1">
        <f t="array" ref="M123">_xlfn.XLOOKUP(RiskStatements[[#This Row],[Vulnerability Rating]],VEMatrix[Vulnerability],_xlfn.XLOOKUP(RiskStatements[[#This Row],[Exposure Rating - Present]],VEMatrix[#Headers],VEMatrix[]))</f>
        <v>N/A</v>
      </c>
      <c r="N123" s="22" t="str" cm="1">
        <f t="array" ref="N123">_xlfn.XLOOKUP(RiskStatements[[#This Row],[Vulnerability Rating]],VEMatrix[Vulnerability],_xlfn.XLOOKUP(RiskStatements[[#This Row],[Exposure Rating - 2050]],VEMatrix[#Headers],VEMatrix[]))</f>
        <v>N/A</v>
      </c>
      <c r="O123" s="22" t="str" cm="1">
        <f t="array" ref="O123">_xlfn.XLOOKUP(RiskStatements[[#This Row],[Vulnerability Rating]],VEMatrix[Vulnerability],_xlfn.XLOOKUP(RiskStatements[[#This Row],[Exposure Rating - 2100]],VEMatrix[#Headers],VEMatrix[]))</f>
        <v>N/A</v>
      </c>
      <c r="P123" s="22">
        <f>_xlfn.XLOOKUP(RiskStatements[[#This Row],[Risk Rating - Present]],RatingOrder[Rating Order],RatingOrder[Rating Score],0,0)</f>
        <v>0</v>
      </c>
      <c r="Q123" s="22">
        <f>_xlfn.XLOOKUP(RiskStatements[[#This Row],[Risk Rating - 2050]],RatingOrder[Rating Order],RatingOrder[Rating Score],0,0)</f>
        <v>0</v>
      </c>
      <c r="R123" s="22">
        <f>_xlfn.XLOOKUP(RiskStatements[[#This Row],[Risk Rating - 2100]],RatingOrder[Rating Order],RatingOrder[Rating Score],0,0)</f>
        <v>0</v>
      </c>
      <c r="S12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24" spans="1:19" hidden="1" x14ac:dyDescent="0.35">
      <c r="A124" s="22" t="s">
        <v>120</v>
      </c>
      <c r="B124" s="22" t="s">
        <v>121</v>
      </c>
      <c r="C124" s="22" t="s">
        <v>137</v>
      </c>
      <c r="D124" s="22" t="str">
        <f>"V - " &amp;RiskStatements[[#This Row],[Climate Variables/Explainers]]</f>
        <v>V - Ocean Acidification</v>
      </c>
      <c r="E124" s="22" t="str">
        <f>"EP - " &amp;RiskStatements[[#This Row],[Climate Variables/Explainers]]</f>
        <v>EP - Ocean Acidification</v>
      </c>
      <c r="F124" s="22" t="str">
        <f>"E2050 - " &amp;RiskStatements[[#This Row],[Climate Variables/Explainers]]</f>
        <v>E2050 - Ocean Acidification</v>
      </c>
      <c r="G124" s="22" t="str">
        <f>"E2100 - " &amp;RiskStatements[[#This Row],[Climate Variables/Explainers]]</f>
        <v>E2100 - Ocean Acidification</v>
      </c>
      <c r="H124" s="22" t="str" cm="1">
        <f t="array" ref="H124">_xlfn.XLOOKUP(RiskStatements[[#This Row],[Elements at Risk]],Final_VEValues[Elements at Risk],_xlfn.XLOOKUP(RiskStatements[[#This Row],[Vulnerability Header]],Final_VEValues[#Headers],Final_VEValues[]))</f>
        <v>N/A</v>
      </c>
      <c r="I124" s="22" t="str" cm="1">
        <f t="array" ref="I124">_xlfn.XLOOKUP(RiskStatements[[#This Row],[Elements at Risk]],Final_VEValues[Elements at Risk],_xlfn.XLOOKUP(RiskStatements[[#This Row],[Exposure Present Header]],Final_VEValues[#Headers],Final_VEValues[]))</f>
        <v>N/A</v>
      </c>
      <c r="J124" s="22" t="str" cm="1">
        <f t="array" ref="J124">_xlfn.XLOOKUP(RiskStatements[[#This Row],[Elements at Risk]],Final_VEValues[Elements at Risk],_xlfn.XLOOKUP(RiskStatements[[#This Row],[Exposure 2050 Header]],Final_VEValues[#Headers],Final_VEValues[]))</f>
        <v>N/A</v>
      </c>
      <c r="K124" s="22" t="str" cm="1">
        <f t="array" ref="K124">_xlfn.XLOOKUP(RiskStatements[[#This Row],[Elements at Risk]],Final_VEValues[Elements at Risk],_xlfn.XLOOKUP(RiskStatements[[#This Row],[Exposure 2100 Header]],Final_VEValues[#Headers],Final_VEValues[]))</f>
        <v>N/A</v>
      </c>
      <c r="L124" s="22" t="str">
        <f>_xlfn.CONCAT(RiskStatements[[#This Row],[Climate Variables/Explainers]]," risk to ",RiskStatements[[#This Row],[Elements at Risk]])</f>
        <v>Ocean Acidification risk to Electricity</v>
      </c>
      <c r="M124" s="22" t="str" cm="1">
        <f t="array" ref="M124">_xlfn.XLOOKUP(RiskStatements[[#This Row],[Vulnerability Rating]],VEMatrix[Vulnerability],_xlfn.XLOOKUP(RiskStatements[[#This Row],[Exposure Rating - Present]],VEMatrix[#Headers],VEMatrix[]))</f>
        <v>N/A</v>
      </c>
      <c r="N124" s="22" t="str" cm="1">
        <f t="array" ref="N124">_xlfn.XLOOKUP(RiskStatements[[#This Row],[Vulnerability Rating]],VEMatrix[Vulnerability],_xlfn.XLOOKUP(RiskStatements[[#This Row],[Exposure Rating - 2050]],VEMatrix[#Headers],VEMatrix[]))</f>
        <v>N/A</v>
      </c>
      <c r="O124" s="22" t="str" cm="1">
        <f t="array" ref="O124">_xlfn.XLOOKUP(RiskStatements[[#This Row],[Vulnerability Rating]],VEMatrix[Vulnerability],_xlfn.XLOOKUP(RiskStatements[[#This Row],[Exposure Rating - 2100]],VEMatrix[#Headers],VEMatrix[]))</f>
        <v>N/A</v>
      </c>
      <c r="P124" s="22">
        <f>_xlfn.XLOOKUP(RiskStatements[[#This Row],[Risk Rating - Present]],RatingOrder[Rating Order],RatingOrder[Rating Score],0,0)</f>
        <v>0</v>
      </c>
      <c r="Q124" s="22">
        <f>_xlfn.XLOOKUP(RiskStatements[[#This Row],[Risk Rating - 2050]],RatingOrder[Rating Order],RatingOrder[Rating Score],0,0)</f>
        <v>0</v>
      </c>
      <c r="R124" s="22">
        <f>_xlfn.XLOOKUP(RiskStatements[[#This Row],[Risk Rating - 2100]],RatingOrder[Rating Order],RatingOrder[Rating Score],0,0)</f>
        <v>0</v>
      </c>
      <c r="S12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25" spans="1:19" hidden="1" x14ac:dyDescent="0.35">
      <c r="A125" s="22" t="s">
        <v>120</v>
      </c>
      <c r="B125" s="22" t="s">
        <v>70</v>
      </c>
      <c r="C125" s="22" t="s">
        <v>137</v>
      </c>
      <c r="D125" s="22" t="str">
        <f>"V - " &amp;RiskStatements[[#This Row],[Climate Variables/Explainers]]</f>
        <v>V - Ocean Acidification</v>
      </c>
      <c r="E125" s="22" t="str">
        <f>"EP - " &amp;RiskStatements[[#This Row],[Climate Variables/Explainers]]</f>
        <v>EP - Ocean Acidification</v>
      </c>
      <c r="F125" s="22" t="str">
        <f>"E2050 - " &amp;RiskStatements[[#This Row],[Climate Variables/Explainers]]</f>
        <v>E2050 - Ocean Acidification</v>
      </c>
      <c r="G125" s="22" t="str">
        <f>"E2100 - " &amp;RiskStatements[[#This Row],[Climate Variables/Explainers]]</f>
        <v>E2100 - Ocean Acidification</v>
      </c>
      <c r="H125" s="22" t="str" cm="1">
        <f t="array" ref="H125">_xlfn.XLOOKUP(RiskStatements[[#This Row],[Elements at Risk]],Final_VEValues[Elements at Risk],_xlfn.XLOOKUP(RiskStatements[[#This Row],[Vulnerability Header]],Final_VEValues[#Headers],Final_VEValues[]))</f>
        <v>N/A</v>
      </c>
      <c r="I125" s="22" t="str" cm="1">
        <f t="array" ref="I125">_xlfn.XLOOKUP(RiskStatements[[#This Row],[Elements at Risk]],Final_VEValues[Elements at Risk],_xlfn.XLOOKUP(RiskStatements[[#This Row],[Exposure Present Header]],Final_VEValues[#Headers],Final_VEValues[]))</f>
        <v>N/A</v>
      </c>
      <c r="J125" s="22" t="str" cm="1">
        <f t="array" ref="J125">_xlfn.XLOOKUP(RiskStatements[[#This Row],[Elements at Risk]],Final_VEValues[Elements at Risk],_xlfn.XLOOKUP(RiskStatements[[#This Row],[Exposure 2050 Header]],Final_VEValues[#Headers],Final_VEValues[]))</f>
        <v>N/A</v>
      </c>
      <c r="K125" s="22" t="str" cm="1">
        <f t="array" ref="K125">_xlfn.XLOOKUP(RiskStatements[[#This Row],[Elements at Risk]],Final_VEValues[Elements at Risk],_xlfn.XLOOKUP(RiskStatements[[#This Row],[Exposure 2100 Header]],Final_VEValues[#Headers],Final_VEValues[]))</f>
        <v>N/A</v>
      </c>
      <c r="L125" s="22" t="str">
        <f>_xlfn.CONCAT(RiskStatements[[#This Row],[Climate Variables/Explainers]]," risk to ",RiskStatements[[#This Row],[Elements at Risk]])</f>
        <v>Ocean Acidification risk to Wastewater Infrastructure</v>
      </c>
      <c r="M125" s="22" t="str" cm="1">
        <f t="array" ref="M125">_xlfn.XLOOKUP(RiskStatements[[#This Row],[Vulnerability Rating]],VEMatrix[Vulnerability],_xlfn.XLOOKUP(RiskStatements[[#This Row],[Exposure Rating - Present]],VEMatrix[#Headers],VEMatrix[]))</f>
        <v>N/A</v>
      </c>
      <c r="N125" s="22" t="str" cm="1">
        <f t="array" ref="N125">_xlfn.XLOOKUP(RiskStatements[[#This Row],[Vulnerability Rating]],VEMatrix[Vulnerability],_xlfn.XLOOKUP(RiskStatements[[#This Row],[Exposure Rating - 2050]],VEMatrix[#Headers],VEMatrix[]))</f>
        <v>N/A</v>
      </c>
      <c r="O125" s="22" t="str" cm="1">
        <f t="array" ref="O125">_xlfn.XLOOKUP(RiskStatements[[#This Row],[Vulnerability Rating]],VEMatrix[Vulnerability],_xlfn.XLOOKUP(RiskStatements[[#This Row],[Exposure Rating - 2100]],VEMatrix[#Headers],VEMatrix[]))</f>
        <v>N/A</v>
      </c>
      <c r="P125" s="22">
        <f>_xlfn.XLOOKUP(RiskStatements[[#This Row],[Risk Rating - Present]],RatingOrder[Rating Order],RatingOrder[Rating Score],0,0)</f>
        <v>0</v>
      </c>
      <c r="Q125" s="22">
        <f>_xlfn.XLOOKUP(RiskStatements[[#This Row],[Risk Rating - 2050]],RatingOrder[Rating Order],RatingOrder[Rating Score],0,0)</f>
        <v>0</v>
      </c>
      <c r="R125" s="22">
        <f>_xlfn.XLOOKUP(RiskStatements[[#This Row],[Risk Rating - 2100]],RatingOrder[Rating Order],RatingOrder[Rating Score],0,0)</f>
        <v>0</v>
      </c>
      <c r="S12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26" spans="1:19" hidden="1" x14ac:dyDescent="0.35">
      <c r="A126" s="22" t="s">
        <v>120</v>
      </c>
      <c r="B126" s="22" t="s">
        <v>223</v>
      </c>
      <c r="C126" s="22" t="s">
        <v>137</v>
      </c>
      <c r="D126" s="22" t="str">
        <f>"V - " &amp;RiskStatements[[#This Row],[Climate Variables/Explainers]]</f>
        <v>V - Ocean Acidification</v>
      </c>
      <c r="E126" s="22" t="str">
        <f>"EP - " &amp;RiskStatements[[#This Row],[Climate Variables/Explainers]]</f>
        <v>EP - Ocean Acidification</v>
      </c>
      <c r="F126" s="22" t="str">
        <f>"E2050 - " &amp;RiskStatements[[#This Row],[Climate Variables/Explainers]]</f>
        <v>E2050 - Ocean Acidification</v>
      </c>
      <c r="G126" s="22" t="str">
        <f>"E2100 - " &amp;RiskStatements[[#This Row],[Climate Variables/Explainers]]</f>
        <v>E2100 - Ocean Acidification</v>
      </c>
      <c r="H126" s="22" t="str" cm="1">
        <f t="array" ref="H126">_xlfn.XLOOKUP(RiskStatements[[#This Row],[Elements at Risk]],Final_VEValues[Elements at Risk],_xlfn.XLOOKUP(RiskStatements[[#This Row],[Vulnerability Header]],Final_VEValues[#Headers],Final_VEValues[]))</f>
        <v>N/A</v>
      </c>
      <c r="I126" s="22" t="str" cm="1">
        <f t="array" ref="I126">_xlfn.XLOOKUP(RiskStatements[[#This Row],[Elements at Risk]],Final_VEValues[Elements at Risk],_xlfn.XLOOKUP(RiskStatements[[#This Row],[Exposure Present Header]],Final_VEValues[#Headers],Final_VEValues[]))</f>
        <v>N/A</v>
      </c>
      <c r="J126" s="22" t="str" cm="1">
        <f t="array" ref="J126">_xlfn.XLOOKUP(RiskStatements[[#This Row],[Elements at Risk]],Final_VEValues[Elements at Risk],_xlfn.XLOOKUP(RiskStatements[[#This Row],[Exposure 2050 Header]],Final_VEValues[#Headers],Final_VEValues[]))</f>
        <v>N/A</v>
      </c>
      <c r="K126" s="22" t="str" cm="1">
        <f t="array" ref="K126">_xlfn.XLOOKUP(RiskStatements[[#This Row],[Elements at Risk]],Final_VEValues[Elements at Risk],_xlfn.XLOOKUP(RiskStatements[[#This Row],[Exposure 2100 Header]],Final_VEValues[#Headers],Final_VEValues[]))</f>
        <v>N/A</v>
      </c>
      <c r="L126" s="22" t="str">
        <f>_xlfn.CONCAT(RiskStatements[[#This Row],[Climate Variables/Explainers]]," risk to ",RiskStatements[[#This Row],[Elements at Risk]])</f>
        <v>Ocean Acidification risk to Transportation Assets</v>
      </c>
      <c r="M126" s="22" t="str" cm="1">
        <f t="array" ref="M126">_xlfn.XLOOKUP(RiskStatements[[#This Row],[Vulnerability Rating]],VEMatrix[Vulnerability],_xlfn.XLOOKUP(RiskStatements[[#This Row],[Exposure Rating - Present]],VEMatrix[#Headers],VEMatrix[]))</f>
        <v>N/A</v>
      </c>
      <c r="N126" s="22" t="str" cm="1">
        <f t="array" ref="N126">_xlfn.XLOOKUP(RiskStatements[[#This Row],[Vulnerability Rating]],VEMatrix[Vulnerability],_xlfn.XLOOKUP(RiskStatements[[#This Row],[Exposure Rating - 2050]],VEMatrix[#Headers],VEMatrix[]))</f>
        <v>N/A</v>
      </c>
      <c r="O126" s="22" t="str" cm="1">
        <f t="array" ref="O126">_xlfn.XLOOKUP(RiskStatements[[#This Row],[Vulnerability Rating]],VEMatrix[Vulnerability],_xlfn.XLOOKUP(RiskStatements[[#This Row],[Exposure Rating - 2100]],VEMatrix[#Headers],VEMatrix[]))</f>
        <v>N/A</v>
      </c>
      <c r="P126" s="22">
        <f>_xlfn.XLOOKUP(RiskStatements[[#This Row],[Risk Rating - Present]],RatingOrder[Rating Order],RatingOrder[Rating Score],0,0)</f>
        <v>0</v>
      </c>
      <c r="Q126" s="22">
        <f>_xlfn.XLOOKUP(RiskStatements[[#This Row],[Risk Rating - 2050]],RatingOrder[Rating Order],RatingOrder[Rating Score],0,0)</f>
        <v>0</v>
      </c>
      <c r="R126" s="22">
        <f>_xlfn.XLOOKUP(RiskStatements[[#This Row],[Risk Rating - 2100]],RatingOrder[Rating Order],RatingOrder[Rating Score],0,0)</f>
        <v>0</v>
      </c>
      <c r="S12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27" spans="1:19" hidden="1" x14ac:dyDescent="0.35">
      <c r="A127" s="22" t="s">
        <v>120</v>
      </c>
      <c r="B127" s="22" t="s">
        <v>122</v>
      </c>
      <c r="C127" s="22" t="s">
        <v>137</v>
      </c>
      <c r="D127" s="22" t="str">
        <f>"V - " &amp;RiskStatements[[#This Row],[Climate Variables/Explainers]]</f>
        <v>V - Ocean Acidification</v>
      </c>
      <c r="E127" s="22" t="str">
        <f>"EP - " &amp;RiskStatements[[#This Row],[Climate Variables/Explainers]]</f>
        <v>EP - Ocean Acidification</v>
      </c>
      <c r="F127" s="22" t="str">
        <f>"E2050 - " &amp;RiskStatements[[#This Row],[Climate Variables/Explainers]]</f>
        <v>E2050 - Ocean Acidification</v>
      </c>
      <c r="G127" s="22" t="str">
        <f>"E2100 - " &amp;RiskStatements[[#This Row],[Climate Variables/Explainers]]</f>
        <v>E2100 - Ocean Acidification</v>
      </c>
      <c r="H127" s="22" t="str" cm="1">
        <f t="array" ref="H127">_xlfn.XLOOKUP(RiskStatements[[#This Row],[Elements at Risk]],Final_VEValues[Elements at Risk],_xlfn.XLOOKUP(RiskStatements[[#This Row],[Vulnerability Header]],Final_VEValues[#Headers],Final_VEValues[]))</f>
        <v>N/A</v>
      </c>
      <c r="I127" s="22" t="str" cm="1">
        <f t="array" ref="I127">_xlfn.XLOOKUP(RiskStatements[[#This Row],[Elements at Risk]],Final_VEValues[Elements at Risk],_xlfn.XLOOKUP(RiskStatements[[#This Row],[Exposure Present Header]],Final_VEValues[#Headers],Final_VEValues[]))</f>
        <v>N/A</v>
      </c>
      <c r="J127" s="22" t="str" cm="1">
        <f t="array" ref="J127">_xlfn.XLOOKUP(RiskStatements[[#This Row],[Elements at Risk]],Final_VEValues[Elements at Risk],_xlfn.XLOOKUP(RiskStatements[[#This Row],[Exposure 2050 Header]],Final_VEValues[#Headers],Final_VEValues[]))</f>
        <v>N/A</v>
      </c>
      <c r="K127" s="22" t="str" cm="1">
        <f t="array" ref="K127">_xlfn.XLOOKUP(RiskStatements[[#This Row],[Elements at Risk]],Final_VEValues[Elements at Risk],_xlfn.XLOOKUP(RiskStatements[[#This Row],[Exposure 2100 Header]],Final_VEValues[#Headers],Final_VEValues[]))</f>
        <v>N/A</v>
      </c>
      <c r="L127" s="22" t="str">
        <f>_xlfn.CONCAT(RiskStatements[[#This Row],[Climate Variables/Explainers]]," risk to ",RiskStatements[[#This Row],[Elements at Risk]])</f>
        <v>Ocean Acidification risk to Water Supply</v>
      </c>
      <c r="M127" s="22" t="str" cm="1">
        <f t="array" ref="M127">_xlfn.XLOOKUP(RiskStatements[[#This Row],[Vulnerability Rating]],VEMatrix[Vulnerability],_xlfn.XLOOKUP(RiskStatements[[#This Row],[Exposure Rating - Present]],VEMatrix[#Headers],VEMatrix[]))</f>
        <v>N/A</v>
      </c>
      <c r="N127" s="22" t="str" cm="1">
        <f t="array" ref="N127">_xlfn.XLOOKUP(RiskStatements[[#This Row],[Vulnerability Rating]],VEMatrix[Vulnerability],_xlfn.XLOOKUP(RiskStatements[[#This Row],[Exposure Rating - 2050]],VEMatrix[#Headers],VEMatrix[]))</f>
        <v>N/A</v>
      </c>
      <c r="O127" s="22" t="str" cm="1">
        <f t="array" ref="O127">_xlfn.XLOOKUP(RiskStatements[[#This Row],[Vulnerability Rating]],VEMatrix[Vulnerability],_xlfn.XLOOKUP(RiskStatements[[#This Row],[Exposure Rating - 2100]],VEMatrix[#Headers],VEMatrix[]))</f>
        <v>N/A</v>
      </c>
      <c r="P127" s="22">
        <f>_xlfn.XLOOKUP(RiskStatements[[#This Row],[Risk Rating - Present]],RatingOrder[Rating Order],RatingOrder[Rating Score],0,0)</f>
        <v>0</v>
      </c>
      <c r="Q127" s="22">
        <f>_xlfn.XLOOKUP(RiskStatements[[#This Row],[Risk Rating - 2050]],RatingOrder[Rating Order],RatingOrder[Rating Score],0,0)</f>
        <v>0</v>
      </c>
      <c r="R127" s="22">
        <f>_xlfn.XLOOKUP(RiskStatements[[#This Row],[Risk Rating - 2100]],RatingOrder[Rating Order],RatingOrder[Rating Score],0,0)</f>
        <v>0</v>
      </c>
      <c r="S12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28" spans="1:19" hidden="1" x14ac:dyDescent="0.35">
      <c r="A128" s="22" t="s">
        <v>120</v>
      </c>
      <c r="B128" s="22" t="s">
        <v>224</v>
      </c>
      <c r="C128" s="22" t="s">
        <v>137</v>
      </c>
      <c r="D128" s="22" t="str">
        <f>"V - " &amp;RiskStatements[[#This Row],[Climate Variables/Explainers]]</f>
        <v>V - Ocean Acidification</v>
      </c>
      <c r="E128" s="22" t="str">
        <f>"EP - " &amp;RiskStatements[[#This Row],[Climate Variables/Explainers]]</f>
        <v>EP - Ocean Acidification</v>
      </c>
      <c r="F128" s="22" t="str">
        <f>"E2050 - " &amp;RiskStatements[[#This Row],[Climate Variables/Explainers]]</f>
        <v>E2050 - Ocean Acidification</v>
      </c>
      <c r="G128" s="22" t="str">
        <f>"E2100 - " &amp;RiskStatements[[#This Row],[Climate Variables/Explainers]]</f>
        <v>E2100 - Ocean Acidification</v>
      </c>
      <c r="H128" s="22" t="str" cm="1">
        <f t="array" ref="H128">_xlfn.XLOOKUP(RiskStatements[[#This Row],[Elements at Risk]],Final_VEValues[Elements at Risk],_xlfn.XLOOKUP(RiskStatements[[#This Row],[Vulnerability Header]],Final_VEValues[#Headers],Final_VEValues[]))</f>
        <v>N/A</v>
      </c>
      <c r="I128" s="22" t="str" cm="1">
        <f t="array" ref="I128">_xlfn.XLOOKUP(RiskStatements[[#This Row],[Elements at Risk]],Final_VEValues[Elements at Risk],_xlfn.XLOOKUP(RiskStatements[[#This Row],[Exposure Present Header]],Final_VEValues[#Headers],Final_VEValues[]))</f>
        <v>N/A</v>
      </c>
      <c r="J128" s="22" t="str" cm="1">
        <f t="array" ref="J128">_xlfn.XLOOKUP(RiskStatements[[#This Row],[Elements at Risk]],Final_VEValues[Elements at Risk],_xlfn.XLOOKUP(RiskStatements[[#This Row],[Exposure 2050 Header]],Final_VEValues[#Headers],Final_VEValues[]))</f>
        <v>N/A</v>
      </c>
      <c r="K128" s="22" t="str" cm="1">
        <f t="array" ref="K128">_xlfn.XLOOKUP(RiskStatements[[#This Row],[Elements at Risk]],Final_VEValues[Elements at Risk],_xlfn.XLOOKUP(RiskStatements[[#This Row],[Exposure 2100 Header]],Final_VEValues[#Headers],Final_VEValues[]))</f>
        <v>N/A</v>
      </c>
      <c r="L128" s="22" t="str">
        <f>_xlfn.CONCAT(RiskStatements[[#This Row],[Climate Variables/Explainers]]," risk to ",RiskStatements[[#This Row],[Elements at Risk]])</f>
        <v>Ocean Acidification risk to Stormwater / Flood Management</v>
      </c>
      <c r="M128" s="22" t="str" cm="1">
        <f t="array" ref="M128">_xlfn.XLOOKUP(RiskStatements[[#This Row],[Vulnerability Rating]],VEMatrix[Vulnerability],_xlfn.XLOOKUP(RiskStatements[[#This Row],[Exposure Rating - Present]],VEMatrix[#Headers],VEMatrix[]))</f>
        <v>N/A</v>
      </c>
      <c r="N128" s="22" t="str" cm="1">
        <f t="array" ref="N128">_xlfn.XLOOKUP(RiskStatements[[#This Row],[Vulnerability Rating]],VEMatrix[Vulnerability],_xlfn.XLOOKUP(RiskStatements[[#This Row],[Exposure Rating - 2050]],VEMatrix[#Headers],VEMatrix[]))</f>
        <v>N/A</v>
      </c>
      <c r="O128" s="22" t="str" cm="1">
        <f t="array" ref="O128">_xlfn.XLOOKUP(RiskStatements[[#This Row],[Vulnerability Rating]],VEMatrix[Vulnerability],_xlfn.XLOOKUP(RiskStatements[[#This Row],[Exposure Rating - 2100]],VEMatrix[#Headers],VEMatrix[]))</f>
        <v>N/A</v>
      </c>
      <c r="P128" s="22">
        <f>_xlfn.XLOOKUP(RiskStatements[[#This Row],[Risk Rating - Present]],RatingOrder[Rating Order],RatingOrder[Rating Score],0,0)</f>
        <v>0</v>
      </c>
      <c r="Q128" s="22">
        <f>_xlfn.XLOOKUP(RiskStatements[[#This Row],[Risk Rating - 2050]],RatingOrder[Rating Order],RatingOrder[Rating Score],0,0)</f>
        <v>0</v>
      </c>
      <c r="R128" s="22">
        <f>_xlfn.XLOOKUP(RiskStatements[[#This Row],[Risk Rating - 2100]],RatingOrder[Rating Order],RatingOrder[Rating Score],0,0)</f>
        <v>0</v>
      </c>
      <c r="S12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29" spans="1:19" hidden="1" x14ac:dyDescent="0.35">
      <c r="A129" s="22" t="s">
        <v>120</v>
      </c>
      <c r="B129" s="22" t="s">
        <v>212</v>
      </c>
      <c r="C129" s="22" t="s">
        <v>137</v>
      </c>
      <c r="D129" s="22" t="str">
        <f>"V - " &amp;RiskStatements[[#This Row],[Climate Variables/Explainers]]</f>
        <v>V - Ocean Acidification</v>
      </c>
      <c r="E129" s="22" t="str">
        <f>"EP - " &amp;RiskStatements[[#This Row],[Climate Variables/Explainers]]</f>
        <v>EP - Ocean Acidification</v>
      </c>
      <c r="F129" s="22" t="str">
        <f>"E2050 - " &amp;RiskStatements[[#This Row],[Climate Variables/Explainers]]</f>
        <v>E2050 - Ocean Acidification</v>
      </c>
      <c r="G129" s="22" t="str">
        <f>"E2100 - " &amp;RiskStatements[[#This Row],[Climate Variables/Explainers]]</f>
        <v>E2100 - Ocean Acidification</v>
      </c>
      <c r="H129" s="22" t="str" cm="1">
        <f t="array" ref="H129">_xlfn.XLOOKUP(RiskStatements[[#This Row],[Elements at Risk]],Final_VEValues[Elements at Risk],_xlfn.XLOOKUP(RiskStatements[[#This Row],[Vulnerability Header]],Final_VEValues[#Headers],Final_VEValues[]))</f>
        <v>N/A</v>
      </c>
      <c r="I129" s="22" t="str" cm="1">
        <f t="array" ref="I129">_xlfn.XLOOKUP(RiskStatements[[#This Row],[Elements at Risk]],Final_VEValues[Elements at Risk],_xlfn.XLOOKUP(RiskStatements[[#This Row],[Exposure Present Header]],Final_VEValues[#Headers],Final_VEValues[]))</f>
        <v>N/A</v>
      </c>
      <c r="J129" s="22" t="str" cm="1">
        <f t="array" ref="J129">_xlfn.XLOOKUP(RiskStatements[[#This Row],[Elements at Risk]],Final_VEValues[Elements at Risk],_xlfn.XLOOKUP(RiskStatements[[#This Row],[Exposure 2050 Header]],Final_VEValues[#Headers],Final_VEValues[]))</f>
        <v>N/A</v>
      </c>
      <c r="K129" s="22" t="str" cm="1">
        <f t="array" ref="K129">_xlfn.XLOOKUP(RiskStatements[[#This Row],[Elements at Risk]],Final_VEValues[Elements at Risk],_xlfn.XLOOKUP(RiskStatements[[#This Row],[Exposure 2100 Header]],Final_VEValues[#Headers],Final_VEValues[]))</f>
        <v>N/A</v>
      </c>
      <c r="L129" s="22" t="str">
        <f>_xlfn.CONCAT(RiskStatements[[#This Row],[Climate Variables/Explainers]]," risk to ",RiskStatements[[#This Row],[Elements at Risk]])</f>
        <v>Ocean Acidification risk to Uninhabited Buildings</v>
      </c>
      <c r="M129" s="22" t="str" cm="1">
        <f t="array" ref="M129">_xlfn.XLOOKUP(RiskStatements[[#This Row],[Vulnerability Rating]],VEMatrix[Vulnerability],_xlfn.XLOOKUP(RiskStatements[[#This Row],[Exposure Rating - Present]],VEMatrix[#Headers],VEMatrix[]))</f>
        <v>N/A</v>
      </c>
      <c r="N129" s="22" t="str" cm="1">
        <f t="array" ref="N129">_xlfn.XLOOKUP(RiskStatements[[#This Row],[Vulnerability Rating]],VEMatrix[Vulnerability],_xlfn.XLOOKUP(RiskStatements[[#This Row],[Exposure Rating - 2050]],VEMatrix[#Headers],VEMatrix[]))</f>
        <v>N/A</v>
      </c>
      <c r="O129" s="22" t="str" cm="1">
        <f t="array" ref="O129">_xlfn.XLOOKUP(RiskStatements[[#This Row],[Vulnerability Rating]],VEMatrix[Vulnerability],_xlfn.XLOOKUP(RiskStatements[[#This Row],[Exposure Rating - 2100]],VEMatrix[#Headers],VEMatrix[]))</f>
        <v>N/A</v>
      </c>
      <c r="P129" s="22">
        <f>_xlfn.XLOOKUP(RiskStatements[[#This Row],[Risk Rating - Present]],RatingOrder[Rating Order],RatingOrder[Rating Score],0,0)</f>
        <v>0</v>
      </c>
      <c r="Q129" s="22">
        <f>_xlfn.XLOOKUP(RiskStatements[[#This Row],[Risk Rating - 2050]],RatingOrder[Rating Order],RatingOrder[Rating Score],0,0)</f>
        <v>0</v>
      </c>
      <c r="R129" s="22">
        <f>_xlfn.XLOOKUP(RiskStatements[[#This Row],[Risk Rating - 2100]],RatingOrder[Rating Order],RatingOrder[Rating Score],0,0)</f>
        <v>0</v>
      </c>
      <c r="S12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30" spans="1:19" hidden="1" x14ac:dyDescent="0.35">
      <c r="A130" s="22" t="s">
        <v>120</v>
      </c>
      <c r="B130" s="22" t="s">
        <v>74</v>
      </c>
      <c r="C130" s="22" t="s">
        <v>137</v>
      </c>
      <c r="D130" s="22" t="str">
        <f>"V - " &amp;RiskStatements[[#This Row],[Climate Variables/Explainers]]</f>
        <v>V - Ocean Acidification</v>
      </c>
      <c r="E130" s="22" t="str">
        <f>"EP - " &amp;RiskStatements[[#This Row],[Climate Variables/Explainers]]</f>
        <v>EP - Ocean Acidification</v>
      </c>
      <c r="F130" s="22" t="str">
        <f>"E2050 - " &amp;RiskStatements[[#This Row],[Climate Variables/Explainers]]</f>
        <v>E2050 - Ocean Acidification</v>
      </c>
      <c r="G130" s="22" t="str">
        <f>"E2100 - " &amp;RiskStatements[[#This Row],[Climate Variables/Explainers]]</f>
        <v>E2100 - Ocean Acidification</v>
      </c>
      <c r="H130" s="22" t="str" cm="1">
        <f t="array" ref="H130">_xlfn.XLOOKUP(RiskStatements[[#This Row],[Elements at Risk]],Final_VEValues[Elements at Risk],_xlfn.XLOOKUP(RiskStatements[[#This Row],[Vulnerability Header]],Final_VEValues[#Headers],Final_VEValues[]))</f>
        <v>N/A</v>
      </c>
      <c r="I130" s="22" t="str" cm="1">
        <f t="array" ref="I130">_xlfn.XLOOKUP(RiskStatements[[#This Row],[Elements at Risk]],Final_VEValues[Elements at Risk],_xlfn.XLOOKUP(RiskStatements[[#This Row],[Exposure Present Header]],Final_VEValues[#Headers],Final_VEValues[]))</f>
        <v>N/A</v>
      </c>
      <c r="J130" s="22" t="str" cm="1">
        <f t="array" ref="J130">_xlfn.XLOOKUP(RiskStatements[[#This Row],[Elements at Risk]],Final_VEValues[Elements at Risk],_xlfn.XLOOKUP(RiskStatements[[#This Row],[Exposure 2050 Header]],Final_VEValues[#Headers],Final_VEValues[]))</f>
        <v>N/A</v>
      </c>
      <c r="K130" s="22" t="str" cm="1">
        <f t="array" ref="K130">_xlfn.XLOOKUP(RiskStatements[[#This Row],[Elements at Risk]],Final_VEValues[Elements at Risk],_xlfn.XLOOKUP(RiskStatements[[#This Row],[Exposure 2100 Header]],Final_VEValues[#Headers],Final_VEValues[]))</f>
        <v>N/A</v>
      </c>
      <c r="L130" s="22" t="str">
        <f>_xlfn.CONCAT(RiskStatements[[#This Row],[Climate Variables/Explainers]]," risk to ",RiskStatements[[#This Row],[Elements at Risk]])</f>
        <v>Ocean Acidification risk to Evacuation Structures</v>
      </c>
      <c r="M130" s="22" t="str" cm="1">
        <f t="array" ref="M130">_xlfn.XLOOKUP(RiskStatements[[#This Row],[Vulnerability Rating]],VEMatrix[Vulnerability],_xlfn.XLOOKUP(RiskStatements[[#This Row],[Exposure Rating - Present]],VEMatrix[#Headers],VEMatrix[]))</f>
        <v>N/A</v>
      </c>
      <c r="N130" s="22" t="str" cm="1">
        <f t="array" ref="N130">_xlfn.XLOOKUP(RiskStatements[[#This Row],[Vulnerability Rating]],VEMatrix[Vulnerability],_xlfn.XLOOKUP(RiskStatements[[#This Row],[Exposure Rating - 2050]],VEMatrix[#Headers],VEMatrix[]))</f>
        <v>N/A</v>
      </c>
      <c r="O130" s="22" t="str" cm="1">
        <f t="array" ref="O130">_xlfn.XLOOKUP(RiskStatements[[#This Row],[Vulnerability Rating]],VEMatrix[Vulnerability],_xlfn.XLOOKUP(RiskStatements[[#This Row],[Exposure Rating - 2100]],VEMatrix[#Headers],VEMatrix[]))</f>
        <v>N/A</v>
      </c>
      <c r="P130" s="22">
        <f>_xlfn.XLOOKUP(RiskStatements[[#This Row],[Risk Rating - Present]],RatingOrder[Rating Order],RatingOrder[Rating Score],0,0)</f>
        <v>0</v>
      </c>
      <c r="Q130" s="22">
        <f>_xlfn.XLOOKUP(RiskStatements[[#This Row],[Risk Rating - 2050]],RatingOrder[Rating Order],RatingOrder[Rating Score],0,0)</f>
        <v>0</v>
      </c>
      <c r="R130" s="22">
        <f>_xlfn.XLOOKUP(RiskStatements[[#This Row],[Risk Rating - 2100]],RatingOrder[Rating Order],RatingOrder[Rating Score],0,0)</f>
        <v>0</v>
      </c>
      <c r="S13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31" spans="1:19" hidden="1" x14ac:dyDescent="0.35">
      <c r="A131" s="22" t="s">
        <v>46</v>
      </c>
      <c r="B131" s="22" t="s">
        <v>227</v>
      </c>
      <c r="C131" s="22" t="s">
        <v>137</v>
      </c>
      <c r="D131" s="22" t="str">
        <f>"V - " &amp;RiskStatements[[#This Row],[Climate Variables/Explainers]]</f>
        <v>V - Ocean Acidification</v>
      </c>
      <c r="E131" s="22" t="str">
        <f>"EP - " &amp;RiskStatements[[#This Row],[Climate Variables/Explainers]]</f>
        <v>EP - Ocean Acidification</v>
      </c>
      <c r="F131" s="22" t="str">
        <f>"E2050 - " &amp;RiskStatements[[#This Row],[Climate Variables/Explainers]]</f>
        <v>E2050 - Ocean Acidification</v>
      </c>
      <c r="G131" s="22" t="str">
        <f>"E2100 - " &amp;RiskStatements[[#This Row],[Climate Variables/Explainers]]</f>
        <v>E2100 - Ocean Acidification</v>
      </c>
      <c r="H131" s="22" t="str" cm="1">
        <f t="array" ref="H131">_xlfn.XLOOKUP(RiskStatements[[#This Row],[Elements at Risk]],Final_VEValues[Elements at Risk],_xlfn.XLOOKUP(RiskStatements[[#This Row],[Vulnerability Header]],Final_VEValues[#Headers],Final_VEValues[]))</f>
        <v>N/A</v>
      </c>
      <c r="I131" s="22" t="str" cm="1">
        <f t="array" ref="I131">_xlfn.XLOOKUP(RiskStatements[[#This Row],[Elements at Risk]],Final_VEValues[Elements at Risk],_xlfn.XLOOKUP(RiskStatements[[#This Row],[Exposure Present Header]],Final_VEValues[#Headers],Final_VEValues[]))</f>
        <v>N/A</v>
      </c>
      <c r="J131" s="22" t="str" cm="1">
        <f t="array" ref="J131">_xlfn.XLOOKUP(RiskStatements[[#This Row],[Elements at Risk]],Final_VEValues[Elements at Risk],_xlfn.XLOOKUP(RiskStatements[[#This Row],[Exposure 2050 Header]],Final_VEValues[#Headers],Final_VEValues[]))</f>
        <v>N/A</v>
      </c>
      <c r="K131" s="22" t="str" cm="1">
        <f t="array" ref="K131">_xlfn.XLOOKUP(RiskStatements[[#This Row],[Elements at Risk]],Final_VEValues[Elements at Risk],_xlfn.XLOOKUP(RiskStatements[[#This Row],[Exposure 2100 Header]],Final_VEValues[#Headers],Final_VEValues[]))</f>
        <v>N/A</v>
      </c>
      <c r="L131" s="22" t="str">
        <f>_xlfn.CONCAT(RiskStatements[[#This Row],[Climate Variables/Explainers]]," risk to ",RiskStatements[[#This Row],[Elements at Risk]])</f>
        <v>Ocean Acidification risk to Outdoor Land Activities</v>
      </c>
      <c r="M131" s="22" t="str" cm="1">
        <f t="array" ref="M131">_xlfn.XLOOKUP(RiskStatements[[#This Row],[Vulnerability Rating]],VEMatrix[Vulnerability],_xlfn.XLOOKUP(RiskStatements[[#This Row],[Exposure Rating - Present]],VEMatrix[#Headers],VEMatrix[]))</f>
        <v>N/A</v>
      </c>
      <c r="N131" s="22" t="str" cm="1">
        <f t="array" ref="N131">_xlfn.XLOOKUP(RiskStatements[[#This Row],[Vulnerability Rating]],VEMatrix[Vulnerability],_xlfn.XLOOKUP(RiskStatements[[#This Row],[Exposure Rating - 2050]],VEMatrix[#Headers],VEMatrix[]))</f>
        <v>N/A</v>
      </c>
      <c r="O131" s="22" t="str" cm="1">
        <f t="array" ref="O131">_xlfn.XLOOKUP(RiskStatements[[#This Row],[Vulnerability Rating]],VEMatrix[Vulnerability],_xlfn.XLOOKUP(RiskStatements[[#This Row],[Exposure Rating - 2100]],VEMatrix[#Headers],VEMatrix[]))</f>
        <v>N/A</v>
      </c>
      <c r="P131" s="22">
        <f>_xlfn.XLOOKUP(RiskStatements[[#This Row],[Risk Rating - Present]],RatingOrder[Rating Order],RatingOrder[Rating Score],0,0)</f>
        <v>0</v>
      </c>
      <c r="Q131" s="22">
        <f>_xlfn.XLOOKUP(RiskStatements[[#This Row],[Risk Rating - 2050]],RatingOrder[Rating Order],RatingOrder[Rating Score],0,0)</f>
        <v>0</v>
      </c>
      <c r="R131" s="22">
        <f>_xlfn.XLOOKUP(RiskStatements[[#This Row],[Risk Rating - 2100]],RatingOrder[Rating Order],RatingOrder[Rating Score],0,0)</f>
        <v>0</v>
      </c>
      <c r="S13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32" spans="1:19" hidden="1" x14ac:dyDescent="0.35">
      <c r="A132" s="22" t="s">
        <v>46</v>
      </c>
      <c r="B132" s="22" t="s">
        <v>226</v>
      </c>
      <c r="C132" s="22" t="s">
        <v>137</v>
      </c>
      <c r="D132" s="22" t="str">
        <f>"V - " &amp;RiskStatements[[#This Row],[Climate Variables/Explainers]]</f>
        <v>V - Ocean Acidification</v>
      </c>
      <c r="E132" s="22" t="str">
        <f>"EP - " &amp;RiskStatements[[#This Row],[Climate Variables/Explainers]]</f>
        <v>EP - Ocean Acidification</v>
      </c>
      <c r="F132" s="22" t="str">
        <f>"E2050 - " &amp;RiskStatements[[#This Row],[Climate Variables/Explainers]]</f>
        <v>E2050 - Ocean Acidification</v>
      </c>
      <c r="G132" s="22" t="str">
        <f>"E2100 - " &amp;RiskStatements[[#This Row],[Climate Variables/Explainers]]</f>
        <v>E2100 - Ocean Acidification</v>
      </c>
      <c r="H132" s="22" t="str" cm="1">
        <f t="array" ref="H132">_xlfn.XLOOKUP(RiskStatements[[#This Row],[Elements at Risk]],Final_VEValues[Elements at Risk],_xlfn.XLOOKUP(RiskStatements[[#This Row],[Vulnerability Header]],Final_VEValues[#Headers],Final_VEValues[]))</f>
        <v>M</v>
      </c>
      <c r="I132" s="22" t="str" cm="1">
        <f t="array" ref="I132">_xlfn.XLOOKUP(RiskStatements[[#This Row],[Elements at Risk]],Final_VEValues[Elements at Risk],_xlfn.XLOOKUP(RiskStatements[[#This Row],[Exposure Present Header]],Final_VEValues[#Headers],Final_VEValues[]))</f>
        <v>M</v>
      </c>
      <c r="J132" s="22" t="str" cm="1">
        <f t="array" ref="J132">_xlfn.XLOOKUP(RiskStatements[[#This Row],[Elements at Risk]],Final_VEValues[Elements at Risk],_xlfn.XLOOKUP(RiskStatements[[#This Row],[Exposure 2050 Header]],Final_VEValues[#Headers],Final_VEValues[]))</f>
        <v>H</v>
      </c>
      <c r="K132" s="22" t="str" cm="1">
        <f t="array" ref="K132">_xlfn.XLOOKUP(RiskStatements[[#This Row],[Elements at Risk]],Final_VEValues[Elements at Risk],_xlfn.XLOOKUP(RiskStatements[[#This Row],[Exposure 2100 Header]],Final_VEValues[#Headers],Final_VEValues[]))</f>
        <v>E</v>
      </c>
      <c r="L132" s="22" t="str">
        <f>_xlfn.CONCAT(RiskStatements[[#This Row],[Climate Variables/Explainers]]," risk to ",RiskStatements[[#This Row],[Elements at Risk]])</f>
        <v>Ocean Acidification risk to Outdoor Marine Activities</v>
      </c>
      <c r="M132" s="22" t="str" cm="1">
        <f t="array" ref="M132">_xlfn.XLOOKUP(RiskStatements[[#This Row],[Vulnerability Rating]],VEMatrix[Vulnerability],_xlfn.XLOOKUP(RiskStatements[[#This Row],[Exposure Rating - Present]],VEMatrix[#Headers],VEMatrix[]))</f>
        <v>Moderate</v>
      </c>
      <c r="N132" s="22" t="str" cm="1">
        <f t="array" ref="N132">_xlfn.XLOOKUP(RiskStatements[[#This Row],[Vulnerability Rating]],VEMatrix[Vulnerability],_xlfn.XLOOKUP(RiskStatements[[#This Row],[Exposure Rating - 2050]],VEMatrix[#Headers],VEMatrix[]))</f>
        <v>Moderate</v>
      </c>
      <c r="O132" s="22" t="str" cm="1">
        <f t="array" ref="O132">_xlfn.XLOOKUP(RiskStatements[[#This Row],[Vulnerability Rating]],VEMatrix[Vulnerability],_xlfn.XLOOKUP(RiskStatements[[#This Row],[Exposure Rating - 2100]],VEMatrix[#Headers],VEMatrix[]))</f>
        <v>High</v>
      </c>
      <c r="P132" s="22">
        <f>_xlfn.XLOOKUP(RiskStatements[[#This Row],[Risk Rating - Present]],RatingOrder[Rating Order],RatingOrder[Rating Score],0,0)</f>
        <v>2</v>
      </c>
      <c r="Q132" s="22">
        <f>_xlfn.XLOOKUP(RiskStatements[[#This Row],[Risk Rating - 2050]],RatingOrder[Rating Order],RatingOrder[Rating Score],0,0)</f>
        <v>2</v>
      </c>
      <c r="R132" s="22">
        <f>_xlfn.XLOOKUP(RiskStatements[[#This Row],[Risk Rating - 2100]],RatingOrder[Rating Order],RatingOrder[Rating Score],0,0)</f>
        <v>3</v>
      </c>
      <c r="S13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33" spans="1:19" hidden="1" x14ac:dyDescent="0.35">
      <c r="A133" s="22" t="s">
        <v>46</v>
      </c>
      <c r="B133" s="22" t="s">
        <v>225</v>
      </c>
      <c r="C133" s="22" t="s">
        <v>137</v>
      </c>
      <c r="D133" s="22" t="str">
        <f>"V - " &amp;RiskStatements[[#This Row],[Climate Variables/Explainers]]</f>
        <v>V - Ocean Acidification</v>
      </c>
      <c r="E133" s="22" t="str">
        <f>"EP - " &amp;RiskStatements[[#This Row],[Climate Variables/Explainers]]</f>
        <v>EP - Ocean Acidification</v>
      </c>
      <c r="F133" s="22" t="str">
        <f>"E2050 - " &amp;RiskStatements[[#This Row],[Climate Variables/Explainers]]</f>
        <v>E2050 - Ocean Acidification</v>
      </c>
      <c r="G133" s="22" t="str">
        <f>"E2100 - " &amp;RiskStatements[[#This Row],[Climate Variables/Explainers]]</f>
        <v>E2100 - Ocean Acidification</v>
      </c>
      <c r="H133" s="22" t="str" cm="1">
        <f t="array" ref="H133">_xlfn.XLOOKUP(RiskStatements[[#This Row],[Elements at Risk]],Final_VEValues[Elements at Risk],_xlfn.XLOOKUP(RiskStatements[[#This Row],[Vulnerability Header]],Final_VEValues[#Headers],Final_VEValues[]))</f>
        <v>N/A</v>
      </c>
      <c r="I133" s="22" t="str" cm="1">
        <f t="array" ref="I133">_xlfn.XLOOKUP(RiskStatements[[#This Row],[Elements at Risk]],Final_VEValues[Elements at Risk],_xlfn.XLOOKUP(RiskStatements[[#This Row],[Exposure Present Header]],Final_VEValues[#Headers],Final_VEValues[]))</f>
        <v>N/A</v>
      </c>
      <c r="J133" s="22" t="str" cm="1">
        <f t="array" ref="J133">_xlfn.XLOOKUP(RiskStatements[[#This Row],[Elements at Risk]],Final_VEValues[Elements at Risk],_xlfn.XLOOKUP(RiskStatements[[#This Row],[Exposure 2050 Header]],Final_VEValues[#Headers],Final_VEValues[]))</f>
        <v>N/A</v>
      </c>
      <c r="K133" s="22" t="str" cm="1">
        <f t="array" ref="K133">_xlfn.XLOOKUP(RiskStatements[[#This Row],[Elements at Risk]],Final_VEValues[Elements at Risk],_xlfn.XLOOKUP(RiskStatements[[#This Row],[Exposure 2100 Header]],Final_VEValues[#Headers],Final_VEValues[]))</f>
        <v>N/A</v>
      </c>
      <c r="L133" s="22" t="str">
        <f>_xlfn.CONCAT(RiskStatements[[#This Row],[Climate Variables/Explainers]]," risk to ",RiskStatements[[#This Row],[Elements at Risk]])</f>
        <v>Ocean Acidification risk to Outdoor Freshwater Activities</v>
      </c>
      <c r="M133" s="22" t="str" cm="1">
        <f t="array" ref="M133">_xlfn.XLOOKUP(RiskStatements[[#This Row],[Vulnerability Rating]],VEMatrix[Vulnerability],_xlfn.XLOOKUP(RiskStatements[[#This Row],[Exposure Rating - Present]],VEMatrix[#Headers],VEMatrix[]))</f>
        <v>N/A</v>
      </c>
      <c r="N133" s="22" t="str" cm="1">
        <f t="array" ref="N133">_xlfn.XLOOKUP(RiskStatements[[#This Row],[Vulnerability Rating]],VEMatrix[Vulnerability],_xlfn.XLOOKUP(RiskStatements[[#This Row],[Exposure Rating - 2050]],VEMatrix[#Headers],VEMatrix[]))</f>
        <v>N/A</v>
      </c>
      <c r="O133" s="22" t="str" cm="1">
        <f t="array" ref="O133">_xlfn.XLOOKUP(RiskStatements[[#This Row],[Vulnerability Rating]],VEMatrix[Vulnerability],_xlfn.XLOOKUP(RiskStatements[[#This Row],[Exposure Rating - 2100]],VEMatrix[#Headers],VEMatrix[]))</f>
        <v>N/A</v>
      </c>
      <c r="P133" s="22">
        <f>_xlfn.XLOOKUP(RiskStatements[[#This Row],[Risk Rating - Present]],RatingOrder[Rating Order],RatingOrder[Rating Score],0,0)</f>
        <v>0</v>
      </c>
      <c r="Q133" s="22">
        <f>_xlfn.XLOOKUP(RiskStatements[[#This Row],[Risk Rating - 2050]],RatingOrder[Rating Order],RatingOrder[Rating Score],0,0)</f>
        <v>0</v>
      </c>
      <c r="R133" s="22">
        <f>_xlfn.XLOOKUP(RiskStatements[[#This Row],[Risk Rating - 2100]],RatingOrder[Rating Order],RatingOrder[Rating Score],0,0)</f>
        <v>0</v>
      </c>
      <c r="S13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34" spans="1:19" hidden="1" x14ac:dyDescent="0.35">
      <c r="A134" s="22" t="s">
        <v>46</v>
      </c>
      <c r="B134" s="22" t="s">
        <v>79</v>
      </c>
      <c r="C134" s="22" t="s">
        <v>137</v>
      </c>
      <c r="D134" s="22" t="str">
        <f>"V - " &amp;RiskStatements[[#This Row],[Climate Variables/Explainers]]</f>
        <v>V - Ocean Acidification</v>
      </c>
      <c r="E134" s="22" t="str">
        <f>"EP - " &amp;RiskStatements[[#This Row],[Climate Variables/Explainers]]</f>
        <v>EP - Ocean Acidification</v>
      </c>
      <c r="F134" s="22" t="str">
        <f>"E2050 - " &amp;RiskStatements[[#This Row],[Climate Variables/Explainers]]</f>
        <v>E2050 - Ocean Acidification</v>
      </c>
      <c r="G134" s="22" t="str">
        <f>"E2100 - " &amp;RiskStatements[[#This Row],[Climate Variables/Explainers]]</f>
        <v>E2100 - Ocean Acidification</v>
      </c>
      <c r="H134" s="22" t="str" cm="1">
        <f t="array" ref="H134">_xlfn.XLOOKUP(RiskStatements[[#This Row],[Elements at Risk]],Final_VEValues[Elements at Risk],_xlfn.XLOOKUP(RiskStatements[[#This Row],[Vulnerability Header]],Final_VEValues[#Headers],Final_VEValues[]))</f>
        <v>M</v>
      </c>
      <c r="I134" s="22" t="str" cm="1">
        <f t="array" ref="I134">_xlfn.XLOOKUP(RiskStatements[[#This Row],[Elements at Risk]],Final_VEValues[Elements at Risk],_xlfn.XLOOKUP(RiskStatements[[#This Row],[Exposure Present Header]],Final_VEValues[#Headers],Final_VEValues[]))</f>
        <v>L</v>
      </c>
      <c r="J134" s="22" t="str" cm="1">
        <f t="array" ref="J134">_xlfn.XLOOKUP(RiskStatements[[#This Row],[Elements at Risk]],Final_VEValues[Elements at Risk],_xlfn.XLOOKUP(RiskStatements[[#This Row],[Exposure 2050 Header]],Final_VEValues[#Headers],Final_VEValues[]))</f>
        <v>H</v>
      </c>
      <c r="K134" s="22" t="str" cm="1">
        <f t="array" ref="K134">_xlfn.XLOOKUP(RiskStatements[[#This Row],[Elements at Risk]],Final_VEValues[Elements at Risk],_xlfn.XLOOKUP(RiskStatements[[#This Row],[Exposure 2100 Header]],Final_VEValues[#Headers],Final_VEValues[]))</f>
        <v>E</v>
      </c>
      <c r="L134" s="22" t="str">
        <f>_xlfn.CONCAT(RiskStatements[[#This Row],[Climate Variables/Explainers]]," risk to ",RiskStatements[[#This Row],[Elements at Risk]])</f>
        <v>Ocean Acidification risk to Outdoor Coastal Activities</v>
      </c>
      <c r="M134" s="22" t="str" cm="1">
        <f t="array" ref="M134">_xlfn.XLOOKUP(RiskStatements[[#This Row],[Vulnerability Rating]],VEMatrix[Vulnerability],_xlfn.XLOOKUP(RiskStatements[[#This Row],[Exposure Rating - Present]],VEMatrix[#Headers],VEMatrix[]))</f>
        <v>Low</v>
      </c>
      <c r="N134" s="22" t="str" cm="1">
        <f t="array" ref="N134">_xlfn.XLOOKUP(RiskStatements[[#This Row],[Vulnerability Rating]],VEMatrix[Vulnerability],_xlfn.XLOOKUP(RiskStatements[[#This Row],[Exposure Rating - 2050]],VEMatrix[#Headers],VEMatrix[]))</f>
        <v>Moderate</v>
      </c>
      <c r="O134" s="22" t="str" cm="1">
        <f t="array" ref="O134">_xlfn.XLOOKUP(RiskStatements[[#This Row],[Vulnerability Rating]],VEMatrix[Vulnerability],_xlfn.XLOOKUP(RiskStatements[[#This Row],[Exposure Rating - 2100]],VEMatrix[#Headers],VEMatrix[]))</f>
        <v>High</v>
      </c>
      <c r="P134" s="22">
        <f>_xlfn.XLOOKUP(RiskStatements[[#This Row],[Risk Rating - Present]],RatingOrder[Rating Order],RatingOrder[Rating Score],0,0)</f>
        <v>1</v>
      </c>
      <c r="Q134" s="22">
        <f>_xlfn.XLOOKUP(RiskStatements[[#This Row],[Risk Rating - 2050]],RatingOrder[Rating Order],RatingOrder[Rating Score],0,0)</f>
        <v>2</v>
      </c>
      <c r="R134" s="22">
        <f>_xlfn.XLOOKUP(RiskStatements[[#This Row],[Risk Rating - 2100]],RatingOrder[Rating Order],RatingOrder[Rating Score],0,0)</f>
        <v>3</v>
      </c>
      <c r="S13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35" spans="1:19" hidden="1" x14ac:dyDescent="0.35">
      <c r="A135" s="22" t="s">
        <v>46</v>
      </c>
      <c r="B135" s="175" t="s">
        <v>443</v>
      </c>
      <c r="C135" s="22" t="s">
        <v>137</v>
      </c>
      <c r="D135" s="22" t="str">
        <f>"V - " &amp;RiskStatements[[#This Row],[Climate Variables/Explainers]]</f>
        <v>V - Ocean Acidification</v>
      </c>
      <c r="E135" s="22" t="str">
        <f>"EP - " &amp;RiskStatements[[#This Row],[Climate Variables/Explainers]]</f>
        <v>EP - Ocean Acidification</v>
      </c>
      <c r="F135" s="22" t="str">
        <f>"E2050 - " &amp;RiskStatements[[#This Row],[Climate Variables/Explainers]]</f>
        <v>E2050 - Ocean Acidification</v>
      </c>
      <c r="G135" s="22" t="str">
        <f>"E2100 - " &amp;RiskStatements[[#This Row],[Climate Variables/Explainers]]</f>
        <v>E2100 - Ocean Acidification</v>
      </c>
      <c r="H135" s="22" t="str" cm="1">
        <f t="array" ref="H135">_xlfn.XLOOKUP(RiskStatements[[#This Row],[Elements at Risk]],Final_VEValues[Elements at Risk],_xlfn.XLOOKUP(RiskStatements[[#This Row],[Vulnerability Header]],Final_VEValues[#Headers],Final_VEValues[]))</f>
        <v>N/A</v>
      </c>
      <c r="I135" s="22" t="str" cm="1">
        <f t="array" ref="I135">_xlfn.XLOOKUP(RiskStatements[[#This Row],[Elements at Risk]],Final_VEValues[Elements at Risk],_xlfn.XLOOKUP(RiskStatements[[#This Row],[Exposure Present Header]],Final_VEValues[#Headers],Final_VEValues[]))</f>
        <v>N/A</v>
      </c>
      <c r="J135" s="22" t="str" cm="1">
        <f t="array" ref="J135">_xlfn.XLOOKUP(RiskStatements[[#This Row],[Elements at Risk]],Final_VEValues[Elements at Risk],_xlfn.XLOOKUP(RiskStatements[[#This Row],[Exposure 2050 Header]],Final_VEValues[#Headers],Final_VEValues[]))</f>
        <v>N/A</v>
      </c>
      <c r="K135" s="22" t="str" cm="1">
        <f t="array" ref="K135">_xlfn.XLOOKUP(RiskStatements[[#This Row],[Elements at Risk]],Final_VEValues[Elements at Risk],_xlfn.XLOOKUP(RiskStatements[[#This Row],[Exposure 2100 Header]],Final_VEValues[#Headers],Final_VEValues[]))</f>
        <v>N/A</v>
      </c>
      <c r="L135" s="22" t="str">
        <f>_xlfn.CONCAT(RiskStatements[[#This Row],[Climate Variables/Explainers]]," risk to ",RiskStatements[[#This Row],[Elements at Risk]])</f>
        <v>Ocean Acidification risk to Land Transportation Activities</v>
      </c>
      <c r="M135" s="22" t="str" cm="1">
        <f t="array" ref="M135">_xlfn.XLOOKUP(RiskStatements[[#This Row],[Vulnerability Rating]],VEMatrix[Vulnerability],_xlfn.XLOOKUP(RiskStatements[[#This Row],[Exposure Rating - Present]],VEMatrix[#Headers],VEMatrix[]))</f>
        <v>N/A</v>
      </c>
      <c r="N135" s="22" t="str" cm="1">
        <f t="array" ref="N135">_xlfn.XLOOKUP(RiskStatements[[#This Row],[Vulnerability Rating]],VEMatrix[Vulnerability],_xlfn.XLOOKUP(RiskStatements[[#This Row],[Exposure Rating - 2050]],VEMatrix[#Headers],VEMatrix[]))</f>
        <v>N/A</v>
      </c>
      <c r="O135" s="22" t="str" cm="1">
        <f t="array" ref="O135">_xlfn.XLOOKUP(RiskStatements[[#This Row],[Vulnerability Rating]],VEMatrix[Vulnerability],_xlfn.XLOOKUP(RiskStatements[[#This Row],[Exposure Rating - 2100]],VEMatrix[#Headers],VEMatrix[]))</f>
        <v>N/A</v>
      </c>
      <c r="P135" s="22">
        <f>_xlfn.XLOOKUP(RiskStatements[[#This Row],[Risk Rating - Present]],RatingOrder[Rating Order],RatingOrder[Rating Score],0,0)</f>
        <v>0</v>
      </c>
      <c r="Q135" s="22">
        <f>_xlfn.XLOOKUP(RiskStatements[[#This Row],[Risk Rating - 2050]],RatingOrder[Rating Order],RatingOrder[Rating Score],0,0)</f>
        <v>0</v>
      </c>
      <c r="R135" s="22">
        <f>_xlfn.XLOOKUP(RiskStatements[[#This Row],[Risk Rating - 2100]],RatingOrder[Rating Order],RatingOrder[Rating Score],0,0)</f>
        <v>0</v>
      </c>
      <c r="S13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36" spans="1:19" hidden="1" x14ac:dyDescent="0.35">
      <c r="A136" s="22" t="s">
        <v>46</v>
      </c>
      <c r="B136" s="22" t="s">
        <v>222</v>
      </c>
      <c r="C136" s="22" t="s">
        <v>137</v>
      </c>
      <c r="D136" s="22" t="str">
        <f>"V - " &amp;RiskStatements[[#This Row],[Climate Variables/Explainers]]</f>
        <v>V - Ocean Acidification</v>
      </c>
      <c r="E136" s="22" t="str">
        <f>"EP - " &amp;RiskStatements[[#This Row],[Climate Variables/Explainers]]</f>
        <v>EP - Ocean Acidification</v>
      </c>
      <c r="F136" s="22" t="str">
        <f>"E2050 - " &amp;RiskStatements[[#This Row],[Climate Variables/Explainers]]</f>
        <v>E2050 - Ocean Acidification</v>
      </c>
      <c r="G136" s="22" t="str">
        <f>"E2100 - " &amp;RiskStatements[[#This Row],[Climate Variables/Explainers]]</f>
        <v>E2100 - Ocean Acidification</v>
      </c>
      <c r="H136" s="22" t="str" cm="1">
        <f t="array" ref="H136">_xlfn.XLOOKUP(RiskStatements[[#This Row],[Elements at Risk]],Final_VEValues[Elements at Risk],_xlfn.XLOOKUP(RiskStatements[[#This Row],[Vulnerability Header]],Final_VEValues[#Headers],Final_VEValues[]))</f>
        <v>L</v>
      </c>
      <c r="I136" s="22" t="str" cm="1">
        <f t="array" ref="I136">_xlfn.XLOOKUP(RiskStatements[[#This Row],[Elements at Risk]],Final_VEValues[Elements at Risk],_xlfn.XLOOKUP(RiskStatements[[#This Row],[Exposure Present Header]],Final_VEValues[#Headers],Final_VEValues[]))</f>
        <v>L</v>
      </c>
      <c r="J136" s="22" t="str" cm="1">
        <f t="array" ref="J136">_xlfn.XLOOKUP(RiskStatements[[#This Row],[Elements at Risk]],Final_VEValues[Elements at Risk],_xlfn.XLOOKUP(RiskStatements[[#This Row],[Exposure 2050 Header]],Final_VEValues[#Headers],Final_VEValues[]))</f>
        <v>L</v>
      </c>
      <c r="K136" s="22" t="str" cm="1">
        <f t="array" ref="K136">_xlfn.XLOOKUP(RiskStatements[[#This Row],[Elements at Risk]],Final_VEValues[Elements at Risk],_xlfn.XLOOKUP(RiskStatements[[#This Row],[Exposure 2100 Header]],Final_VEValues[#Headers],Final_VEValues[]))</f>
        <v>M</v>
      </c>
      <c r="L136" s="22" t="str">
        <f>_xlfn.CONCAT(RiskStatements[[#This Row],[Climate Variables/Explainers]]," risk to ",RiskStatements[[#This Row],[Elements at Risk]])</f>
        <v>Ocean Acidification risk to Water Transportation Activities</v>
      </c>
      <c r="M136" s="22" t="str" cm="1">
        <f t="array" ref="M136">_xlfn.XLOOKUP(RiskStatements[[#This Row],[Vulnerability Rating]],VEMatrix[Vulnerability],_xlfn.XLOOKUP(RiskStatements[[#This Row],[Exposure Rating - Present]],VEMatrix[#Headers],VEMatrix[]))</f>
        <v>Low</v>
      </c>
      <c r="N136" s="22" t="str" cm="1">
        <f t="array" ref="N136">_xlfn.XLOOKUP(RiskStatements[[#This Row],[Vulnerability Rating]],VEMatrix[Vulnerability],_xlfn.XLOOKUP(RiskStatements[[#This Row],[Exposure Rating - 2050]],VEMatrix[#Headers],VEMatrix[]))</f>
        <v>Low</v>
      </c>
      <c r="O136" s="22" t="str" cm="1">
        <f t="array" ref="O136">_xlfn.XLOOKUP(RiskStatements[[#This Row],[Vulnerability Rating]],VEMatrix[Vulnerability],_xlfn.XLOOKUP(RiskStatements[[#This Row],[Exposure Rating - 2100]],VEMatrix[#Headers],VEMatrix[]))</f>
        <v>Low</v>
      </c>
      <c r="P136" s="22">
        <f>_xlfn.XLOOKUP(RiskStatements[[#This Row],[Risk Rating - Present]],RatingOrder[Rating Order],RatingOrder[Rating Score],0,0)</f>
        <v>1</v>
      </c>
      <c r="Q136" s="22">
        <f>_xlfn.XLOOKUP(RiskStatements[[#This Row],[Risk Rating - 2050]],RatingOrder[Rating Order],RatingOrder[Rating Score],0,0)</f>
        <v>1</v>
      </c>
      <c r="R136" s="22">
        <f>_xlfn.XLOOKUP(RiskStatements[[#This Row],[Risk Rating - 2100]],RatingOrder[Rating Order],RatingOrder[Rating Score],0,0)</f>
        <v>1</v>
      </c>
      <c r="S13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37" spans="1:19" hidden="1" x14ac:dyDescent="0.35">
      <c r="A137" s="22" t="s">
        <v>46</v>
      </c>
      <c r="B137" s="22" t="s">
        <v>221</v>
      </c>
      <c r="C137" s="22" t="s">
        <v>137</v>
      </c>
      <c r="D137" s="22" t="str">
        <f>"V - " &amp;RiskStatements[[#This Row],[Climate Variables/Explainers]]</f>
        <v>V - Ocean Acidification</v>
      </c>
      <c r="E137" s="22" t="str">
        <f>"EP - " &amp;RiskStatements[[#This Row],[Climate Variables/Explainers]]</f>
        <v>EP - Ocean Acidification</v>
      </c>
      <c r="F137" s="22" t="str">
        <f>"E2050 - " &amp;RiskStatements[[#This Row],[Climate Variables/Explainers]]</f>
        <v>E2050 - Ocean Acidification</v>
      </c>
      <c r="G137" s="22" t="str">
        <f>"E2100 - " &amp;RiskStatements[[#This Row],[Climate Variables/Explainers]]</f>
        <v>E2100 - Ocean Acidification</v>
      </c>
      <c r="H137" s="22" t="str" cm="1">
        <f t="array" ref="H137">_xlfn.XLOOKUP(RiskStatements[[#This Row],[Elements at Risk]],Final_VEValues[Elements at Risk],_xlfn.XLOOKUP(RiskStatements[[#This Row],[Vulnerability Header]],Final_VEValues[#Headers],Final_VEValues[]))</f>
        <v>N/A</v>
      </c>
      <c r="I137" s="22" t="str" cm="1">
        <f t="array" ref="I137">_xlfn.XLOOKUP(RiskStatements[[#This Row],[Elements at Risk]],Final_VEValues[Elements at Risk],_xlfn.XLOOKUP(RiskStatements[[#This Row],[Exposure Present Header]],Final_VEValues[#Headers],Final_VEValues[]))</f>
        <v>N/A</v>
      </c>
      <c r="J137" s="22" t="str" cm="1">
        <f t="array" ref="J137">_xlfn.XLOOKUP(RiskStatements[[#This Row],[Elements at Risk]],Final_VEValues[Elements at Risk],_xlfn.XLOOKUP(RiskStatements[[#This Row],[Exposure 2050 Header]],Final_VEValues[#Headers],Final_VEValues[]))</f>
        <v>N/A</v>
      </c>
      <c r="K137" s="22" t="str" cm="1">
        <f t="array" ref="K137">_xlfn.XLOOKUP(RiskStatements[[#This Row],[Elements at Risk]],Final_VEValues[Elements at Risk],_xlfn.XLOOKUP(RiskStatements[[#This Row],[Exposure 2100 Header]],Final_VEValues[#Headers],Final_VEValues[]))</f>
        <v>N/A</v>
      </c>
      <c r="L137" s="22" t="str">
        <f>_xlfn.CONCAT(RiskStatements[[#This Row],[Climate Variables/Explainers]]," risk to ",RiskStatements[[#This Row],[Elements at Risk]])</f>
        <v>Ocean Acidification risk to Office / Shop / Admin Activities</v>
      </c>
      <c r="M137" s="22" t="str" cm="1">
        <f t="array" ref="M137">_xlfn.XLOOKUP(RiskStatements[[#This Row],[Vulnerability Rating]],VEMatrix[Vulnerability],_xlfn.XLOOKUP(RiskStatements[[#This Row],[Exposure Rating - Present]],VEMatrix[#Headers],VEMatrix[]))</f>
        <v>N/A</v>
      </c>
      <c r="N137" s="22" t="str" cm="1">
        <f t="array" ref="N137">_xlfn.XLOOKUP(RiskStatements[[#This Row],[Vulnerability Rating]],VEMatrix[Vulnerability],_xlfn.XLOOKUP(RiskStatements[[#This Row],[Exposure Rating - 2050]],VEMatrix[#Headers],VEMatrix[]))</f>
        <v>N/A</v>
      </c>
      <c r="O137" s="22" t="str" cm="1">
        <f t="array" ref="O137">_xlfn.XLOOKUP(RiskStatements[[#This Row],[Vulnerability Rating]],VEMatrix[Vulnerability],_xlfn.XLOOKUP(RiskStatements[[#This Row],[Exposure Rating - 2100]],VEMatrix[#Headers],VEMatrix[]))</f>
        <v>N/A</v>
      </c>
      <c r="P137" s="22">
        <f>_xlfn.XLOOKUP(RiskStatements[[#This Row],[Risk Rating - Present]],RatingOrder[Rating Order],RatingOrder[Rating Score],0,0)</f>
        <v>0</v>
      </c>
      <c r="Q137" s="22">
        <f>_xlfn.XLOOKUP(RiskStatements[[#This Row],[Risk Rating - 2050]],RatingOrder[Rating Order],RatingOrder[Rating Score],0,0)</f>
        <v>0</v>
      </c>
      <c r="R137" s="22">
        <f>_xlfn.XLOOKUP(RiskStatements[[#This Row],[Risk Rating - 2100]],RatingOrder[Rating Order],RatingOrder[Rating Score],0,0)</f>
        <v>0</v>
      </c>
      <c r="S13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38" spans="1:19" hidden="1" x14ac:dyDescent="0.35">
      <c r="A138" s="22" t="s">
        <v>46</v>
      </c>
      <c r="B138" s="22" t="s">
        <v>219</v>
      </c>
      <c r="C138" s="22" t="s">
        <v>137</v>
      </c>
      <c r="D138" s="22" t="str">
        <f>"V - " &amp;RiskStatements[[#This Row],[Climate Variables/Explainers]]</f>
        <v>V - Ocean Acidification</v>
      </c>
      <c r="E138" s="22" t="str">
        <f>"EP - " &amp;RiskStatements[[#This Row],[Climate Variables/Explainers]]</f>
        <v>EP - Ocean Acidification</v>
      </c>
      <c r="F138" s="22" t="str">
        <f>"E2050 - " &amp;RiskStatements[[#This Row],[Climate Variables/Explainers]]</f>
        <v>E2050 - Ocean Acidification</v>
      </c>
      <c r="G138" s="22" t="str">
        <f>"E2100 - " &amp;RiskStatements[[#This Row],[Climate Variables/Explainers]]</f>
        <v>E2100 - Ocean Acidification</v>
      </c>
      <c r="H138" s="22" t="str" cm="1">
        <f t="array" ref="H138">_xlfn.XLOOKUP(RiskStatements[[#This Row],[Elements at Risk]],Final_VEValues[Elements at Risk],_xlfn.XLOOKUP(RiskStatements[[#This Row],[Vulnerability Header]],Final_VEValues[#Headers],Final_VEValues[]))</f>
        <v>L</v>
      </c>
      <c r="I138" s="22" t="str" cm="1">
        <f t="array" ref="I138">_xlfn.XLOOKUP(RiskStatements[[#This Row],[Elements at Risk]],Final_VEValues[Elements at Risk],_xlfn.XLOOKUP(RiskStatements[[#This Row],[Exposure Present Header]],Final_VEValues[#Headers],Final_VEValues[]))</f>
        <v>L</v>
      </c>
      <c r="J138" s="22" t="str" cm="1">
        <f t="array" ref="J138">_xlfn.XLOOKUP(RiskStatements[[#This Row],[Elements at Risk]],Final_VEValues[Elements at Risk],_xlfn.XLOOKUP(RiskStatements[[#This Row],[Exposure 2050 Header]],Final_VEValues[#Headers],Final_VEValues[]))</f>
        <v>M</v>
      </c>
      <c r="K138" s="22" t="str" cm="1">
        <f t="array" ref="K138">_xlfn.XLOOKUP(RiskStatements[[#This Row],[Elements at Risk]],Final_VEValues[Elements at Risk],_xlfn.XLOOKUP(RiskStatements[[#This Row],[Exposure 2100 Header]],Final_VEValues[#Headers],Final_VEValues[]))</f>
        <v>H</v>
      </c>
      <c r="L138" s="22" t="str">
        <f>_xlfn.CONCAT(RiskStatements[[#This Row],[Climate Variables/Explainers]]," risk to ",RiskStatements[[#This Row],[Elements at Risk]])</f>
        <v>Ocean Acidification risk to Goods Supply Activities</v>
      </c>
      <c r="M138" s="22" t="str" cm="1">
        <f t="array" ref="M138">_xlfn.XLOOKUP(RiskStatements[[#This Row],[Vulnerability Rating]],VEMatrix[Vulnerability],_xlfn.XLOOKUP(RiskStatements[[#This Row],[Exposure Rating - Present]],VEMatrix[#Headers],VEMatrix[]))</f>
        <v>Low</v>
      </c>
      <c r="N138" s="22" t="str" cm="1">
        <f t="array" ref="N138">_xlfn.XLOOKUP(RiskStatements[[#This Row],[Vulnerability Rating]],VEMatrix[Vulnerability],_xlfn.XLOOKUP(RiskStatements[[#This Row],[Exposure Rating - 2050]],VEMatrix[#Headers],VEMatrix[]))</f>
        <v>Low</v>
      </c>
      <c r="O138" s="22" t="str" cm="1">
        <f t="array" ref="O138">_xlfn.XLOOKUP(RiskStatements[[#This Row],[Vulnerability Rating]],VEMatrix[Vulnerability],_xlfn.XLOOKUP(RiskStatements[[#This Row],[Exposure Rating - 2100]],VEMatrix[#Headers],VEMatrix[]))</f>
        <v>Moderate</v>
      </c>
      <c r="P138" s="22">
        <f>_xlfn.XLOOKUP(RiskStatements[[#This Row],[Risk Rating - Present]],RatingOrder[Rating Order],RatingOrder[Rating Score],0,0)</f>
        <v>1</v>
      </c>
      <c r="Q138" s="22">
        <f>_xlfn.XLOOKUP(RiskStatements[[#This Row],[Risk Rating - 2050]],RatingOrder[Rating Order],RatingOrder[Rating Score],0,0)</f>
        <v>1</v>
      </c>
      <c r="R138" s="22">
        <f>_xlfn.XLOOKUP(RiskStatements[[#This Row],[Risk Rating - 2100]],RatingOrder[Rating Order],RatingOrder[Rating Score],0,0)</f>
        <v>2</v>
      </c>
      <c r="S13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39" spans="1:19" hidden="1" x14ac:dyDescent="0.35">
      <c r="A139" s="22" t="s">
        <v>46</v>
      </c>
      <c r="B139" s="22" t="s">
        <v>217</v>
      </c>
      <c r="C139" s="22" t="s">
        <v>137</v>
      </c>
      <c r="D139" s="22" t="str">
        <f>"V - " &amp;RiskStatements[[#This Row],[Climate Variables/Explainers]]</f>
        <v>V - Ocean Acidification</v>
      </c>
      <c r="E139" s="22" t="str">
        <f>"EP - " &amp;RiskStatements[[#This Row],[Climate Variables/Explainers]]</f>
        <v>EP - Ocean Acidification</v>
      </c>
      <c r="F139" s="22" t="str">
        <f>"E2050 - " &amp;RiskStatements[[#This Row],[Climate Variables/Explainers]]</f>
        <v>E2050 - Ocean Acidification</v>
      </c>
      <c r="G139" s="22" t="str">
        <f>"E2100 - " &amp;RiskStatements[[#This Row],[Climate Variables/Explainers]]</f>
        <v>E2100 - Ocean Acidification</v>
      </c>
      <c r="H139" s="22" t="str" cm="1">
        <f t="array" ref="H139">_xlfn.XLOOKUP(RiskStatements[[#This Row],[Elements at Risk]],Final_VEValues[Elements at Risk],_xlfn.XLOOKUP(RiskStatements[[#This Row],[Vulnerability Header]],Final_VEValues[#Headers],Final_VEValues[]))</f>
        <v>N/A</v>
      </c>
      <c r="I139" s="22" t="str" cm="1">
        <f t="array" ref="I139">_xlfn.XLOOKUP(RiskStatements[[#This Row],[Elements at Risk]],Final_VEValues[Elements at Risk],_xlfn.XLOOKUP(RiskStatements[[#This Row],[Exposure Present Header]],Final_VEValues[#Headers],Final_VEValues[]))</f>
        <v>L</v>
      </c>
      <c r="J139" s="22" t="str" cm="1">
        <f t="array" ref="J139">_xlfn.XLOOKUP(RiskStatements[[#This Row],[Elements at Risk]],Final_VEValues[Elements at Risk],_xlfn.XLOOKUP(RiskStatements[[#This Row],[Exposure 2050 Header]],Final_VEValues[#Headers],Final_VEValues[]))</f>
        <v>H</v>
      </c>
      <c r="K139" s="22" t="str" cm="1">
        <f t="array" ref="K139">_xlfn.XLOOKUP(RiskStatements[[#This Row],[Elements at Risk]],Final_VEValues[Elements at Risk],_xlfn.XLOOKUP(RiskStatements[[#This Row],[Exposure 2100 Header]],Final_VEValues[#Headers],Final_VEValues[]))</f>
        <v>H</v>
      </c>
      <c r="L139" s="22" t="str">
        <f>_xlfn.CONCAT(RiskStatements[[#This Row],[Climate Variables/Explainers]]," risk to ",RiskStatements[[#This Row],[Elements at Risk]])</f>
        <v>Ocean Acidification risk to Construction Activities</v>
      </c>
      <c r="M139" s="22" t="str" cm="1">
        <f t="array" ref="M139">_xlfn.XLOOKUP(RiskStatements[[#This Row],[Vulnerability Rating]],VEMatrix[Vulnerability],_xlfn.XLOOKUP(RiskStatements[[#This Row],[Exposure Rating - Present]],VEMatrix[#Headers],VEMatrix[]))</f>
        <v>N/A</v>
      </c>
      <c r="N139" s="22" t="str" cm="1">
        <f t="array" ref="N139">_xlfn.XLOOKUP(RiskStatements[[#This Row],[Vulnerability Rating]],VEMatrix[Vulnerability],_xlfn.XLOOKUP(RiskStatements[[#This Row],[Exposure Rating - 2050]],VEMatrix[#Headers],VEMatrix[]))</f>
        <v>N/A</v>
      </c>
      <c r="O139" s="22" t="str" cm="1">
        <f t="array" ref="O139">_xlfn.XLOOKUP(RiskStatements[[#This Row],[Vulnerability Rating]],VEMatrix[Vulnerability],_xlfn.XLOOKUP(RiskStatements[[#This Row],[Exposure Rating - 2100]],VEMatrix[#Headers],VEMatrix[]))</f>
        <v>N/A</v>
      </c>
      <c r="P139" s="22">
        <f>_xlfn.XLOOKUP(RiskStatements[[#This Row],[Risk Rating - Present]],RatingOrder[Rating Order],RatingOrder[Rating Score],0,0)</f>
        <v>0</v>
      </c>
      <c r="Q139" s="22">
        <f>_xlfn.XLOOKUP(RiskStatements[[#This Row],[Risk Rating - 2050]],RatingOrder[Rating Order],RatingOrder[Rating Score],0,0)</f>
        <v>0</v>
      </c>
      <c r="R139" s="22">
        <f>_xlfn.XLOOKUP(RiskStatements[[#This Row],[Risk Rating - 2100]],RatingOrder[Rating Order],RatingOrder[Rating Score],0,0)</f>
        <v>0</v>
      </c>
      <c r="S13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40" spans="1:19" x14ac:dyDescent="0.35">
      <c r="A140" s="22" t="s">
        <v>111</v>
      </c>
      <c r="B140" s="22" t="s">
        <v>112</v>
      </c>
      <c r="C140" s="22" t="s">
        <v>135</v>
      </c>
      <c r="D140" s="22" t="str">
        <f>"V - " &amp;RiskStatements[[#This Row],[Climate Variables/Explainers]]</f>
        <v>V - Tropical Cyclone</v>
      </c>
      <c r="E140" s="22" t="str">
        <f>"EP - " &amp;RiskStatements[[#This Row],[Climate Variables/Explainers]]</f>
        <v>EP - Tropical Cyclone</v>
      </c>
      <c r="F140" s="22" t="str">
        <f>"E2050 - " &amp;RiskStatements[[#This Row],[Climate Variables/Explainers]]</f>
        <v>E2050 - Tropical Cyclone</v>
      </c>
      <c r="G140" s="22" t="str">
        <f>"E2100 - " &amp;RiskStatements[[#This Row],[Climate Variables/Explainers]]</f>
        <v>E2100 - Tropical Cyclone</v>
      </c>
      <c r="H140" s="22" t="str" cm="1">
        <f t="array" ref="H140">_xlfn.XLOOKUP(RiskStatements[[#This Row],[Elements at Risk]],Final_VEValues[Elements at Risk],_xlfn.XLOOKUP(RiskStatements[[#This Row],[Vulnerability Header]],Final_VEValues[#Headers],Final_VEValues[]))</f>
        <v>E</v>
      </c>
      <c r="I140" s="22" t="str" cm="1">
        <f t="array" ref="I140">_xlfn.XLOOKUP(RiskStatements[[#This Row],[Elements at Risk]],Final_VEValues[Elements at Risk],_xlfn.XLOOKUP(RiskStatements[[#This Row],[Exposure Present Header]],Final_VEValues[#Headers],Final_VEValues[]))</f>
        <v>H</v>
      </c>
      <c r="J140" s="22" t="str" cm="1">
        <f t="array" ref="J140">_xlfn.XLOOKUP(RiskStatements[[#This Row],[Elements at Risk]],Final_VEValues[Elements at Risk],_xlfn.XLOOKUP(RiskStatements[[#This Row],[Exposure 2050 Header]],Final_VEValues[#Headers],Final_VEValues[]))</f>
        <v>E</v>
      </c>
      <c r="K140" s="22" t="str" cm="1">
        <f t="array" ref="K140">_xlfn.XLOOKUP(RiskStatements[[#This Row],[Elements at Risk]],Final_VEValues[Elements at Risk],_xlfn.XLOOKUP(RiskStatements[[#This Row],[Exposure 2100 Header]],Final_VEValues[#Headers],Final_VEValues[]))</f>
        <v>E</v>
      </c>
      <c r="L140" s="22" t="str">
        <f>_xlfn.CONCAT(RiskStatements[[#This Row],[Climate Variables/Explainers]]," risk to ",RiskStatements[[#This Row],[Elements at Risk]])</f>
        <v>Tropical Cyclone risk to Coastal / Marine Ecosystems</v>
      </c>
      <c r="M140" s="22" t="str" cm="1">
        <f t="array" ref="M140">_xlfn.XLOOKUP(RiskStatements[[#This Row],[Vulnerability Rating]],VEMatrix[Vulnerability],_xlfn.XLOOKUP(RiskStatements[[#This Row],[Exposure Rating - Present]],VEMatrix[#Headers],VEMatrix[]))</f>
        <v>Extreme</v>
      </c>
      <c r="N140" s="22" t="str" cm="1">
        <f t="array" ref="N140">_xlfn.XLOOKUP(RiskStatements[[#This Row],[Vulnerability Rating]],VEMatrix[Vulnerability],_xlfn.XLOOKUP(RiskStatements[[#This Row],[Exposure Rating - 2050]],VEMatrix[#Headers],VEMatrix[]))</f>
        <v>Extreme</v>
      </c>
      <c r="O140" s="22" t="str" cm="1">
        <f t="array" ref="O140">_xlfn.XLOOKUP(RiskStatements[[#This Row],[Vulnerability Rating]],VEMatrix[Vulnerability],_xlfn.XLOOKUP(RiskStatements[[#This Row],[Exposure Rating - 2100]],VEMatrix[#Headers],VEMatrix[]))</f>
        <v>Extreme</v>
      </c>
      <c r="P140" s="22">
        <f>_xlfn.XLOOKUP(RiskStatements[[#This Row],[Risk Rating - Present]],RatingOrder[Rating Order],RatingOrder[Rating Score],0,0)</f>
        <v>4</v>
      </c>
      <c r="Q140" s="22">
        <f>_xlfn.XLOOKUP(RiskStatements[[#This Row],[Risk Rating - 2050]],RatingOrder[Rating Order],RatingOrder[Rating Score],0,0)</f>
        <v>4</v>
      </c>
      <c r="R140" s="22">
        <f>_xlfn.XLOOKUP(RiskStatements[[#This Row],[Risk Rating - 2100]],RatingOrder[Rating Order],RatingOrder[Rating Score],0,0)</f>
        <v>4</v>
      </c>
      <c r="S14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41" spans="1:19" hidden="1" x14ac:dyDescent="0.35">
      <c r="A141" s="22" t="s">
        <v>111</v>
      </c>
      <c r="B141" s="22" t="s">
        <v>117</v>
      </c>
      <c r="C141" s="22" t="s">
        <v>135</v>
      </c>
      <c r="D141" s="22" t="str">
        <f>"V - " &amp;RiskStatements[[#This Row],[Climate Variables/Explainers]]</f>
        <v>V - Tropical Cyclone</v>
      </c>
      <c r="E141" s="22" t="str">
        <f>"EP - " &amp;RiskStatements[[#This Row],[Climate Variables/Explainers]]</f>
        <v>EP - Tropical Cyclone</v>
      </c>
      <c r="F141" s="22" t="str">
        <f>"E2050 - " &amp;RiskStatements[[#This Row],[Climate Variables/Explainers]]</f>
        <v>E2050 - Tropical Cyclone</v>
      </c>
      <c r="G141" s="22" t="str">
        <f>"E2100 - " &amp;RiskStatements[[#This Row],[Climate Variables/Explainers]]</f>
        <v>E2100 - Tropical Cyclone</v>
      </c>
      <c r="H141" s="22" t="str" cm="1">
        <f t="array" ref="H141">_xlfn.XLOOKUP(RiskStatements[[#This Row],[Elements at Risk]],Final_VEValues[Elements at Risk],_xlfn.XLOOKUP(RiskStatements[[#This Row],[Vulnerability Header]],Final_VEValues[#Headers],Final_VEValues[]))</f>
        <v>E</v>
      </c>
      <c r="I141" s="22" t="str" cm="1">
        <f t="array" ref="I141">_xlfn.XLOOKUP(RiskStatements[[#This Row],[Elements at Risk]],Final_VEValues[Elements at Risk],_xlfn.XLOOKUP(RiskStatements[[#This Row],[Exposure Present Header]],Final_VEValues[#Headers],Final_VEValues[]))</f>
        <v>H</v>
      </c>
      <c r="J141" s="22" t="str" cm="1">
        <f t="array" ref="J141">_xlfn.XLOOKUP(RiskStatements[[#This Row],[Elements at Risk]],Final_VEValues[Elements at Risk],_xlfn.XLOOKUP(RiskStatements[[#This Row],[Exposure 2050 Header]],Final_VEValues[#Headers],Final_VEValues[]))</f>
        <v>E</v>
      </c>
      <c r="K141" s="22" t="str" cm="1">
        <f t="array" ref="K141">_xlfn.XLOOKUP(RiskStatements[[#This Row],[Elements at Risk]],Final_VEValues[Elements at Risk],_xlfn.XLOOKUP(RiskStatements[[#This Row],[Exposure 2100 Header]],Final_VEValues[#Headers],Final_VEValues[]))</f>
        <v>E</v>
      </c>
      <c r="L141" s="22" t="str">
        <f>_xlfn.CONCAT(RiskStatements[[#This Row],[Climate Variables/Explainers]]," risk to ",RiskStatements[[#This Row],[Elements at Risk]])</f>
        <v>Tropical Cyclone risk to Terrestrial Ecosystems</v>
      </c>
      <c r="M141" s="22" t="str" cm="1">
        <f t="array" ref="M141">_xlfn.XLOOKUP(RiskStatements[[#This Row],[Vulnerability Rating]],VEMatrix[Vulnerability],_xlfn.XLOOKUP(RiskStatements[[#This Row],[Exposure Rating - Present]],VEMatrix[#Headers],VEMatrix[]))</f>
        <v>Extreme</v>
      </c>
      <c r="N141" s="22" t="str" cm="1">
        <f t="array" ref="N141">_xlfn.XLOOKUP(RiskStatements[[#This Row],[Vulnerability Rating]],VEMatrix[Vulnerability],_xlfn.XLOOKUP(RiskStatements[[#This Row],[Exposure Rating - 2050]],VEMatrix[#Headers],VEMatrix[]))</f>
        <v>Extreme</v>
      </c>
      <c r="O141" s="22" t="str" cm="1">
        <f t="array" ref="O141">_xlfn.XLOOKUP(RiskStatements[[#This Row],[Vulnerability Rating]],VEMatrix[Vulnerability],_xlfn.XLOOKUP(RiskStatements[[#This Row],[Exposure Rating - 2100]],VEMatrix[#Headers],VEMatrix[]))</f>
        <v>Extreme</v>
      </c>
      <c r="P141" s="22">
        <f>_xlfn.XLOOKUP(RiskStatements[[#This Row],[Risk Rating - Present]],RatingOrder[Rating Order],RatingOrder[Rating Score],0,0)</f>
        <v>4</v>
      </c>
      <c r="Q141" s="22">
        <f>_xlfn.XLOOKUP(RiskStatements[[#This Row],[Risk Rating - 2050]],RatingOrder[Rating Order],RatingOrder[Rating Score],0,0)</f>
        <v>4</v>
      </c>
      <c r="R141" s="22">
        <f>_xlfn.XLOOKUP(RiskStatements[[#This Row],[Risk Rating - 2100]],RatingOrder[Rating Order],RatingOrder[Rating Score],0,0)</f>
        <v>4</v>
      </c>
      <c r="S14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42" spans="1:19" hidden="1" x14ac:dyDescent="0.35">
      <c r="A142" s="22" t="s">
        <v>111</v>
      </c>
      <c r="B142" s="22" t="s">
        <v>119</v>
      </c>
      <c r="C142" s="22" t="s">
        <v>135</v>
      </c>
      <c r="D142" s="22" t="str">
        <f>"V - " &amp;RiskStatements[[#This Row],[Climate Variables/Explainers]]</f>
        <v>V - Tropical Cyclone</v>
      </c>
      <c r="E142" s="22" t="str">
        <f>"EP - " &amp;RiskStatements[[#This Row],[Climate Variables/Explainers]]</f>
        <v>EP - Tropical Cyclone</v>
      </c>
      <c r="F142" s="22" t="str">
        <f>"E2050 - " &amp;RiskStatements[[#This Row],[Climate Variables/Explainers]]</f>
        <v>E2050 - Tropical Cyclone</v>
      </c>
      <c r="G142" s="22" t="str">
        <f>"E2100 - " &amp;RiskStatements[[#This Row],[Climate Variables/Explainers]]</f>
        <v>E2100 - Tropical Cyclone</v>
      </c>
      <c r="H142" s="22" t="str" cm="1">
        <f t="array" ref="H142">_xlfn.XLOOKUP(RiskStatements[[#This Row],[Elements at Risk]],Final_VEValues[Elements at Risk],_xlfn.XLOOKUP(RiskStatements[[#This Row],[Vulnerability Header]],Final_VEValues[#Headers],Final_VEValues[]))</f>
        <v>E</v>
      </c>
      <c r="I142" s="22" t="str" cm="1">
        <f t="array" ref="I142">_xlfn.XLOOKUP(RiskStatements[[#This Row],[Elements at Risk]],Final_VEValues[Elements at Risk],_xlfn.XLOOKUP(RiskStatements[[#This Row],[Exposure Present Header]],Final_VEValues[#Headers],Final_VEValues[]))</f>
        <v>H</v>
      </c>
      <c r="J142" s="22" t="str" cm="1">
        <f t="array" ref="J142">_xlfn.XLOOKUP(RiskStatements[[#This Row],[Elements at Risk]],Final_VEValues[Elements at Risk],_xlfn.XLOOKUP(RiskStatements[[#This Row],[Exposure 2050 Header]],Final_VEValues[#Headers],Final_VEValues[]))</f>
        <v>E</v>
      </c>
      <c r="K142" s="22" t="str" cm="1">
        <f t="array" ref="K142">_xlfn.XLOOKUP(RiskStatements[[#This Row],[Elements at Risk]],Final_VEValues[Elements at Risk],_xlfn.XLOOKUP(RiskStatements[[#This Row],[Exposure 2100 Header]],Final_VEValues[#Headers],Final_VEValues[]))</f>
        <v>E</v>
      </c>
      <c r="L142" s="22" t="str">
        <f>_xlfn.CONCAT(RiskStatements[[#This Row],[Climate Variables/Explainers]]," risk to ",RiskStatements[[#This Row],[Elements at Risk]])</f>
        <v>Tropical Cyclone risk to Freshwater Ecosystems</v>
      </c>
      <c r="M142" s="22" t="str" cm="1">
        <f t="array" ref="M142">_xlfn.XLOOKUP(RiskStatements[[#This Row],[Vulnerability Rating]],VEMatrix[Vulnerability],_xlfn.XLOOKUP(RiskStatements[[#This Row],[Exposure Rating - Present]],VEMatrix[#Headers],VEMatrix[]))</f>
        <v>Extreme</v>
      </c>
      <c r="N142" s="22" t="str" cm="1">
        <f t="array" ref="N142">_xlfn.XLOOKUP(RiskStatements[[#This Row],[Vulnerability Rating]],VEMatrix[Vulnerability],_xlfn.XLOOKUP(RiskStatements[[#This Row],[Exposure Rating - 2050]],VEMatrix[#Headers],VEMatrix[]))</f>
        <v>Extreme</v>
      </c>
      <c r="O142" s="22" t="str" cm="1">
        <f t="array" ref="O142">_xlfn.XLOOKUP(RiskStatements[[#This Row],[Vulnerability Rating]],VEMatrix[Vulnerability],_xlfn.XLOOKUP(RiskStatements[[#This Row],[Exposure Rating - 2100]],VEMatrix[#Headers],VEMatrix[]))</f>
        <v>Extreme</v>
      </c>
      <c r="P142" s="22">
        <f>_xlfn.XLOOKUP(RiskStatements[[#This Row],[Risk Rating - Present]],RatingOrder[Rating Order],RatingOrder[Rating Score],0,0)</f>
        <v>4</v>
      </c>
      <c r="Q142" s="22">
        <f>_xlfn.XLOOKUP(RiskStatements[[#This Row],[Risk Rating - 2050]],RatingOrder[Rating Order],RatingOrder[Rating Score],0,0)</f>
        <v>4</v>
      </c>
      <c r="R142" s="22">
        <f>_xlfn.XLOOKUP(RiskStatements[[#This Row],[Risk Rating - 2100]],RatingOrder[Rating Order],RatingOrder[Rating Score],0,0)</f>
        <v>4</v>
      </c>
      <c r="S14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43" spans="1:19" hidden="1" x14ac:dyDescent="0.35">
      <c r="A143" s="22" t="s">
        <v>120</v>
      </c>
      <c r="B143" s="22" t="s">
        <v>210</v>
      </c>
      <c r="C143" s="22" t="s">
        <v>135</v>
      </c>
      <c r="D143" s="22" t="str">
        <f>"V - " &amp;RiskStatements[[#This Row],[Climate Variables/Explainers]]</f>
        <v>V - Tropical Cyclone</v>
      </c>
      <c r="E143" s="22" t="str">
        <f>"EP - " &amp;RiskStatements[[#This Row],[Climate Variables/Explainers]]</f>
        <v>EP - Tropical Cyclone</v>
      </c>
      <c r="F143" s="22" t="str">
        <f>"E2050 - " &amp;RiskStatements[[#This Row],[Climate Variables/Explainers]]</f>
        <v>E2050 - Tropical Cyclone</v>
      </c>
      <c r="G143" s="22" t="str">
        <f>"E2100 - " &amp;RiskStatements[[#This Row],[Climate Variables/Explainers]]</f>
        <v>E2100 - Tropical Cyclone</v>
      </c>
      <c r="H143" s="22" t="str" cm="1">
        <f t="array" ref="H143">_xlfn.XLOOKUP(RiskStatements[[#This Row],[Elements at Risk]],Final_VEValues[Elements at Risk],_xlfn.XLOOKUP(RiskStatements[[#This Row],[Vulnerability Header]],Final_VEValues[#Headers],Final_VEValues[]))</f>
        <v>H</v>
      </c>
      <c r="I143" s="22" t="str" cm="1">
        <f t="array" ref="I143">_xlfn.XLOOKUP(RiskStatements[[#This Row],[Elements at Risk]],Final_VEValues[Elements at Risk],_xlfn.XLOOKUP(RiskStatements[[#This Row],[Exposure Present Header]],Final_VEValues[#Headers],Final_VEValues[]))</f>
        <v>H</v>
      </c>
      <c r="J143" s="22" t="str" cm="1">
        <f t="array" ref="J143">_xlfn.XLOOKUP(RiskStatements[[#This Row],[Elements at Risk]],Final_VEValues[Elements at Risk],_xlfn.XLOOKUP(RiskStatements[[#This Row],[Exposure 2050 Header]],Final_VEValues[#Headers],Final_VEValues[]))</f>
        <v>E</v>
      </c>
      <c r="K143" s="22" t="str" cm="1">
        <f t="array" ref="K143">_xlfn.XLOOKUP(RiskStatements[[#This Row],[Elements at Risk]],Final_VEValues[Elements at Risk],_xlfn.XLOOKUP(RiskStatements[[#This Row],[Exposure 2100 Header]],Final_VEValues[#Headers],Final_VEValues[]))</f>
        <v>E</v>
      </c>
      <c r="L143" s="22" t="str">
        <f>_xlfn.CONCAT(RiskStatements[[#This Row],[Climate Variables/Explainers]]," risk to ",RiskStatements[[#This Row],[Elements at Risk]])</f>
        <v>Tropical Cyclone risk to Inhabited Buildings</v>
      </c>
      <c r="M143" s="22" t="str" cm="1">
        <f t="array" ref="M143">_xlfn.XLOOKUP(RiskStatements[[#This Row],[Vulnerability Rating]],VEMatrix[Vulnerability],_xlfn.XLOOKUP(RiskStatements[[#This Row],[Exposure Rating - Present]],VEMatrix[#Headers],VEMatrix[]))</f>
        <v>High</v>
      </c>
      <c r="N143" s="22" t="str" cm="1">
        <f t="array" ref="N143">_xlfn.XLOOKUP(RiskStatements[[#This Row],[Vulnerability Rating]],VEMatrix[Vulnerability],_xlfn.XLOOKUP(RiskStatements[[#This Row],[Exposure Rating - 2050]],VEMatrix[#Headers],VEMatrix[]))</f>
        <v>Extreme</v>
      </c>
      <c r="O143" s="22" t="str" cm="1">
        <f t="array" ref="O143">_xlfn.XLOOKUP(RiskStatements[[#This Row],[Vulnerability Rating]],VEMatrix[Vulnerability],_xlfn.XLOOKUP(RiskStatements[[#This Row],[Exposure Rating - 2100]],VEMatrix[#Headers],VEMatrix[]))</f>
        <v>Extreme</v>
      </c>
      <c r="P143" s="22">
        <f>_xlfn.XLOOKUP(RiskStatements[[#This Row],[Risk Rating - Present]],RatingOrder[Rating Order],RatingOrder[Rating Score],0,0)</f>
        <v>3</v>
      </c>
      <c r="Q143" s="22">
        <f>_xlfn.XLOOKUP(RiskStatements[[#This Row],[Risk Rating - 2050]],RatingOrder[Rating Order],RatingOrder[Rating Score],0,0)</f>
        <v>4</v>
      </c>
      <c r="R143" s="22">
        <f>_xlfn.XLOOKUP(RiskStatements[[#This Row],[Risk Rating - 2100]],RatingOrder[Rating Order],RatingOrder[Rating Score],0,0)</f>
        <v>4</v>
      </c>
      <c r="S14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44" spans="1:19" hidden="1" x14ac:dyDescent="0.35">
      <c r="A144" s="22" t="s">
        <v>120</v>
      </c>
      <c r="B144" s="22" t="s">
        <v>218</v>
      </c>
      <c r="C144" s="22" t="s">
        <v>135</v>
      </c>
      <c r="D144" s="22" t="str">
        <f>"V - " &amp;RiskStatements[[#This Row],[Climate Variables/Explainers]]</f>
        <v>V - Tropical Cyclone</v>
      </c>
      <c r="E144" s="22" t="str">
        <f>"EP - " &amp;RiskStatements[[#This Row],[Climate Variables/Explainers]]</f>
        <v>EP - Tropical Cyclone</v>
      </c>
      <c r="F144" s="22" t="str">
        <f>"E2050 - " &amp;RiskStatements[[#This Row],[Climate Variables/Explainers]]</f>
        <v>E2050 - Tropical Cyclone</v>
      </c>
      <c r="G144" s="22" t="str">
        <f>"E2100 - " &amp;RiskStatements[[#This Row],[Climate Variables/Explainers]]</f>
        <v>E2100 - Tropical Cyclone</v>
      </c>
      <c r="H144" s="22" t="str" cm="1">
        <f t="array" ref="H144">_xlfn.XLOOKUP(RiskStatements[[#This Row],[Elements at Risk]],Final_VEValues[Elements at Risk],_xlfn.XLOOKUP(RiskStatements[[#This Row],[Vulnerability Header]],Final_VEValues[#Headers],Final_VEValues[]))</f>
        <v>H</v>
      </c>
      <c r="I144" s="22" t="str" cm="1">
        <f t="array" ref="I144">_xlfn.XLOOKUP(RiskStatements[[#This Row],[Elements at Risk]],Final_VEValues[Elements at Risk],_xlfn.XLOOKUP(RiskStatements[[#This Row],[Exposure Present Header]],Final_VEValues[#Headers],Final_VEValues[]))</f>
        <v>H</v>
      </c>
      <c r="J144" s="22" t="str" cm="1">
        <f t="array" ref="J144">_xlfn.XLOOKUP(RiskStatements[[#This Row],[Elements at Risk]],Final_VEValues[Elements at Risk],_xlfn.XLOOKUP(RiskStatements[[#This Row],[Exposure 2050 Header]],Final_VEValues[#Headers],Final_VEValues[]))</f>
        <v>E</v>
      </c>
      <c r="K144" s="22" t="str" cm="1">
        <f t="array" ref="K144">_xlfn.XLOOKUP(RiskStatements[[#This Row],[Elements at Risk]],Final_VEValues[Elements at Risk],_xlfn.XLOOKUP(RiskStatements[[#This Row],[Exposure 2100 Header]],Final_VEValues[#Headers],Final_VEValues[]))</f>
        <v>E</v>
      </c>
      <c r="L144" s="22" t="str">
        <f>_xlfn.CONCAT(RiskStatements[[#This Row],[Climate Variables/Explainers]]," risk to ",RiskStatements[[#This Row],[Elements at Risk]])</f>
        <v>Tropical Cyclone risk to Ports / Wharves</v>
      </c>
      <c r="M144" s="22" t="str" cm="1">
        <f t="array" ref="M144">_xlfn.XLOOKUP(RiskStatements[[#This Row],[Vulnerability Rating]],VEMatrix[Vulnerability],_xlfn.XLOOKUP(RiskStatements[[#This Row],[Exposure Rating - Present]],VEMatrix[#Headers],VEMatrix[]))</f>
        <v>High</v>
      </c>
      <c r="N144" s="22" t="str" cm="1">
        <f t="array" ref="N144">_xlfn.XLOOKUP(RiskStatements[[#This Row],[Vulnerability Rating]],VEMatrix[Vulnerability],_xlfn.XLOOKUP(RiskStatements[[#This Row],[Exposure Rating - 2050]],VEMatrix[#Headers],VEMatrix[]))</f>
        <v>Extreme</v>
      </c>
      <c r="O144" s="22" t="str" cm="1">
        <f t="array" ref="O144">_xlfn.XLOOKUP(RiskStatements[[#This Row],[Vulnerability Rating]],VEMatrix[Vulnerability],_xlfn.XLOOKUP(RiskStatements[[#This Row],[Exposure Rating - 2100]],VEMatrix[#Headers],VEMatrix[]))</f>
        <v>Extreme</v>
      </c>
      <c r="P144" s="22">
        <f>_xlfn.XLOOKUP(RiskStatements[[#This Row],[Risk Rating - Present]],RatingOrder[Rating Order],RatingOrder[Rating Score],0,0)</f>
        <v>3</v>
      </c>
      <c r="Q144" s="22">
        <f>_xlfn.XLOOKUP(RiskStatements[[#This Row],[Risk Rating - 2050]],RatingOrder[Rating Order],RatingOrder[Rating Score],0,0)</f>
        <v>4</v>
      </c>
      <c r="R144" s="22">
        <f>_xlfn.XLOOKUP(RiskStatements[[#This Row],[Risk Rating - 2100]],RatingOrder[Rating Order],RatingOrder[Rating Score],0,0)</f>
        <v>4</v>
      </c>
      <c r="S14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45" spans="1:19" hidden="1" x14ac:dyDescent="0.35">
      <c r="A145" s="22" t="s">
        <v>120</v>
      </c>
      <c r="B145" s="22" t="s">
        <v>220</v>
      </c>
      <c r="C145" s="22" t="s">
        <v>135</v>
      </c>
      <c r="D145" s="22" t="str">
        <f>"V - " &amp;RiskStatements[[#This Row],[Climate Variables/Explainers]]</f>
        <v>V - Tropical Cyclone</v>
      </c>
      <c r="E145" s="22" t="str">
        <f>"EP - " &amp;RiskStatements[[#This Row],[Climate Variables/Explainers]]</f>
        <v>EP - Tropical Cyclone</v>
      </c>
      <c r="F145" s="22" t="str">
        <f>"E2050 - " &amp;RiskStatements[[#This Row],[Climate Variables/Explainers]]</f>
        <v>E2050 - Tropical Cyclone</v>
      </c>
      <c r="G145" s="22" t="str">
        <f>"E2100 - " &amp;RiskStatements[[#This Row],[Climate Variables/Explainers]]</f>
        <v>E2100 - Tropical Cyclone</v>
      </c>
      <c r="H145" s="22" t="str" cm="1">
        <f t="array" ref="H145">_xlfn.XLOOKUP(RiskStatements[[#This Row],[Elements at Risk]],Final_VEValues[Elements at Risk],_xlfn.XLOOKUP(RiskStatements[[#This Row],[Vulnerability Header]],Final_VEValues[#Headers],Final_VEValues[]))</f>
        <v>H</v>
      </c>
      <c r="I145" s="22" t="str" cm="1">
        <f t="array" ref="I145">_xlfn.XLOOKUP(RiskStatements[[#This Row],[Elements at Risk]],Final_VEValues[Elements at Risk],_xlfn.XLOOKUP(RiskStatements[[#This Row],[Exposure Present Header]],Final_VEValues[#Headers],Final_VEValues[]))</f>
        <v>H</v>
      </c>
      <c r="J145" s="22" t="str" cm="1">
        <f t="array" ref="J145">_xlfn.XLOOKUP(RiskStatements[[#This Row],[Elements at Risk]],Final_VEValues[Elements at Risk],_xlfn.XLOOKUP(RiskStatements[[#This Row],[Exposure 2050 Header]],Final_VEValues[#Headers],Final_VEValues[]))</f>
        <v>E</v>
      </c>
      <c r="K145" s="22" t="str" cm="1">
        <f t="array" ref="K145">_xlfn.XLOOKUP(RiskStatements[[#This Row],[Elements at Risk]],Final_VEValues[Elements at Risk],_xlfn.XLOOKUP(RiskStatements[[#This Row],[Exposure 2100 Header]],Final_VEValues[#Headers],Final_VEValues[]))</f>
        <v>E</v>
      </c>
      <c r="L145" s="22" t="str">
        <f>_xlfn.CONCAT(RiskStatements[[#This Row],[Climate Variables/Explainers]]," risk to ",RiskStatements[[#This Row],[Elements at Risk]])</f>
        <v>Tropical Cyclone risk to Airports / Airfields</v>
      </c>
      <c r="M145" s="22" t="str" cm="1">
        <f t="array" ref="M145">_xlfn.XLOOKUP(RiskStatements[[#This Row],[Vulnerability Rating]],VEMatrix[Vulnerability],_xlfn.XLOOKUP(RiskStatements[[#This Row],[Exposure Rating - Present]],VEMatrix[#Headers],VEMatrix[]))</f>
        <v>High</v>
      </c>
      <c r="N145" s="22" t="str" cm="1">
        <f t="array" ref="N145">_xlfn.XLOOKUP(RiskStatements[[#This Row],[Vulnerability Rating]],VEMatrix[Vulnerability],_xlfn.XLOOKUP(RiskStatements[[#This Row],[Exposure Rating - 2050]],VEMatrix[#Headers],VEMatrix[]))</f>
        <v>Extreme</v>
      </c>
      <c r="O145" s="22" t="str" cm="1">
        <f t="array" ref="O145">_xlfn.XLOOKUP(RiskStatements[[#This Row],[Vulnerability Rating]],VEMatrix[Vulnerability],_xlfn.XLOOKUP(RiskStatements[[#This Row],[Exposure Rating - 2100]],VEMatrix[#Headers],VEMatrix[]))</f>
        <v>Extreme</v>
      </c>
      <c r="P145" s="22">
        <f>_xlfn.XLOOKUP(RiskStatements[[#This Row],[Risk Rating - Present]],RatingOrder[Rating Order],RatingOrder[Rating Score],0,0)</f>
        <v>3</v>
      </c>
      <c r="Q145" s="22">
        <f>_xlfn.XLOOKUP(RiskStatements[[#This Row],[Risk Rating - 2050]],RatingOrder[Rating Order],RatingOrder[Rating Score],0,0)</f>
        <v>4</v>
      </c>
      <c r="R145" s="22">
        <f>_xlfn.XLOOKUP(RiskStatements[[#This Row],[Risk Rating - 2100]],RatingOrder[Rating Order],RatingOrder[Rating Score],0,0)</f>
        <v>4</v>
      </c>
      <c r="S14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46" spans="1:19" hidden="1" x14ac:dyDescent="0.35">
      <c r="A146" s="22" t="s">
        <v>120</v>
      </c>
      <c r="B146" s="22" t="s">
        <v>67</v>
      </c>
      <c r="C146" s="22" t="s">
        <v>135</v>
      </c>
      <c r="D146" s="22" t="str">
        <f>"V - " &amp;RiskStatements[[#This Row],[Climate Variables/Explainers]]</f>
        <v>V - Tropical Cyclone</v>
      </c>
      <c r="E146" s="22" t="str">
        <f>"EP - " &amp;RiskStatements[[#This Row],[Climate Variables/Explainers]]</f>
        <v>EP - Tropical Cyclone</v>
      </c>
      <c r="F146" s="22" t="str">
        <f>"E2050 - " &amp;RiskStatements[[#This Row],[Climate Variables/Explainers]]</f>
        <v>E2050 - Tropical Cyclone</v>
      </c>
      <c r="G146" s="22" t="str">
        <f>"E2100 - " &amp;RiskStatements[[#This Row],[Climate Variables/Explainers]]</f>
        <v>E2100 - Tropical Cyclone</v>
      </c>
      <c r="H146" s="22" t="str" cm="1">
        <f t="array" ref="H146">_xlfn.XLOOKUP(RiskStatements[[#This Row],[Elements at Risk]],Final_VEValues[Elements at Risk],_xlfn.XLOOKUP(RiskStatements[[#This Row],[Vulnerability Header]],Final_VEValues[#Headers],Final_VEValues[]))</f>
        <v>H</v>
      </c>
      <c r="I146" s="22" t="str" cm="1">
        <f t="array" ref="I146">_xlfn.XLOOKUP(RiskStatements[[#This Row],[Elements at Risk]],Final_VEValues[Elements at Risk],_xlfn.XLOOKUP(RiskStatements[[#This Row],[Exposure Present Header]],Final_VEValues[#Headers],Final_VEValues[]))</f>
        <v>H</v>
      </c>
      <c r="J146" s="22" t="str" cm="1">
        <f t="array" ref="J146">_xlfn.XLOOKUP(RiskStatements[[#This Row],[Elements at Risk]],Final_VEValues[Elements at Risk],_xlfn.XLOOKUP(RiskStatements[[#This Row],[Exposure 2050 Header]],Final_VEValues[#Headers],Final_VEValues[]))</f>
        <v>E</v>
      </c>
      <c r="K146" s="22" t="str" cm="1">
        <f t="array" ref="K146">_xlfn.XLOOKUP(RiskStatements[[#This Row],[Elements at Risk]],Final_VEValues[Elements at Risk],_xlfn.XLOOKUP(RiskStatements[[#This Row],[Exposure 2100 Header]],Final_VEValues[#Headers],Final_VEValues[]))</f>
        <v>E</v>
      </c>
      <c r="L146" s="22" t="str">
        <f>_xlfn.CONCAT(RiskStatements[[#This Row],[Climate Variables/Explainers]]," risk to ",RiskStatements[[#This Row],[Elements at Risk]])</f>
        <v>Tropical Cyclone risk to Telecommunications</v>
      </c>
      <c r="M146" s="22" t="str" cm="1">
        <f t="array" ref="M146">_xlfn.XLOOKUP(RiskStatements[[#This Row],[Vulnerability Rating]],VEMatrix[Vulnerability],_xlfn.XLOOKUP(RiskStatements[[#This Row],[Exposure Rating - Present]],VEMatrix[#Headers],VEMatrix[]))</f>
        <v>High</v>
      </c>
      <c r="N146" s="22" t="str" cm="1">
        <f t="array" ref="N146">_xlfn.XLOOKUP(RiskStatements[[#This Row],[Vulnerability Rating]],VEMatrix[Vulnerability],_xlfn.XLOOKUP(RiskStatements[[#This Row],[Exposure Rating - 2050]],VEMatrix[#Headers],VEMatrix[]))</f>
        <v>Extreme</v>
      </c>
      <c r="O146" s="22" t="str" cm="1">
        <f t="array" ref="O146">_xlfn.XLOOKUP(RiskStatements[[#This Row],[Vulnerability Rating]],VEMatrix[Vulnerability],_xlfn.XLOOKUP(RiskStatements[[#This Row],[Exposure Rating - 2100]],VEMatrix[#Headers],VEMatrix[]))</f>
        <v>Extreme</v>
      </c>
      <c r="P146" s="22">
        <f>_xlfn.XLOOKUP(RiskStatements[[#This Row],[Risk Rating - Present]],RatingOrder[Rating Order],RatingOrder[Rating Score],0,0)</f>
        <v>3</v>
      </c>
      <c r="Q146" s="22">
        <f>_xlfn.XLOOKUP(RiskStatements[[#This Row],[Risk Rating - 2050]],RatingOrder[Rating Order],RatingOrder[Rating Score],0,0)</f>
        <v>4</v>
      </c>
      <c r="R146" s="22">
        <f>_xlfn.XLOOKUP(RiskStatements[[#This Row],[Risk Rating - 2100]],RatingOrder[Rating Order],RatingOrder[Rating Score],0,0)</f>
        <v>4</v>
      </c>
      <c r="S14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47" spans="1:19" hidden="1" x14ac:dyDescent="0.35">
      <c r="A147" s="22" t="s">
        <v>120</v>
      </c>
      <c r="B147" s="22" t="s">
        <v>121</v>
      </c>
      <c r="C147" s="22" t="s">
        <v>135</v>
      </c>
      <c r="D147" s="22" t="str">
        <f>"V - " &amp;RiskStatements[[#This Row],[Climate Variables/Explainers]]</f>
        <v>V - Tropical Cyclone</v>
      </c>
      <c r="E147" s="22" t="str">
        <f>"EP - " &amp;RiskStatements[[#This Row],[Climate Variables/Explainers]]</f>
        <v>EP - Tropical Cyclone</v>
      </c>
      <c r="F147" s="22" t="str">
        <f>"E2050 - " &amp;RiskStatements[[#This Row],[Climate Variables/Explainers]]</f>
        <v>E2050 - Tropical Cyclone</v>
      </c>
      <c r="G147" s="22" t="str">
        <f>"E2100 - " &amp;RiskStatements[[#This Row],[Climate Variables/Explainers]]</f>
        <v>E2100 - Tropical Cyclone</v>
      </c>
      <c r="H147" s="22" t="str" cm="1">
        <f t="array" ref="H147">_xlfn.XLOOKUP(RiskStatements[[#This Row],[Elements at Risk]],Final_VEValues[Elements at Risk],_xlfn.XLOOKUP(RiskStatements[[#This Row],[Vulnerability Header]],Final_VEValues[#Headers],Final_VEValues[]))</f>
        <v>H</v>
      </c>
      <c r="I147" s="22" t="str" cm="1">
        <f t="array" ref="I147">_xlfn.XLOOKUP(RiskStatements[[#This Row],[Elements at Risk]],Final_VEValues[Elements at Risk],_xlfn.XLOOKUP(RiskStatements[[#This Row],[Exposure Present Header]],Final_VEValues[#Headers],Final_VEValues[]))</f>
        <v>H</v>
      </c>
      <c r="J147" s="22" t="str" cm="1">
        <f t="array" ref="J147">_xlfn.XLOOKUP(RiskStatements[[#This Row],[Elements at Risk]],Final_VEValues[Elements at Risk],_xlfn.XLOOKUP(RiskStatements[[#This Row],[Exposure 2050 Header]],Final_VEValues[#Headers],Final_VEValues[]))</f>
        <v>E</v>
      </c>
      <c r="K147" s="22" t="str" cm="1">
        <f t="array" ref="K147">_xlfn.XLOOKUP(RiskStatements[[#This Row],[Elements at Risk]],Final_VEValues[Elements at Risk],_xlfn.XLOOKUP(RiskStatements[[#This Row],[Exposure 2100 Header]],Final_VEValues[#Headers],Final_VEValues[]))</f>
        <v>E</v>
      </c>
      <c r="L147" s="22" t="str">
        <f>_xlfn.CONCAT(RiskStatements[[#This Row],[Climate Variables/Explainers]]," risk to ",RiskStatements[[#This Row],[Elements at Risk]])</f>
        <v>Tropical Cyclone risk to Electricity</v>
      </c>
      <c r="M147" s="22" t="str" cm="1">
        <f t="array" ref="M147">_xlfn.XLOOKUP(RiskStatements[[#This Row],[Vulnerability Rating]],VEMatrix[Vulnerability],_xlfn.XLOOKUP(RiskStatements[[#This Row],[Exposure Rating - Present]],VEMatrix[#Headers],VEMatrix[]))</f>
        <v>High</v>
      </c>
      <c r="N147" s="22" t="str" cm="1">
        <f t="array" ref="N147">_xlfn.XLOOKUP(RiskStatements[[#This Row],[Vulnerability Rating]],VEMatrix[Vulnerability],_xlfn.XLOOKUP(RiskStatements[[#This Row],[Exposure Rating - 2050]],VEMatrix[#Headers],VEMatrix[]))</f>
        <v>Extreme</v>
      </c>
      <c r="O147" s="22" t="str" cm="1">
        <f t="array" ref="O147">_xlfn.XLOOKUP(RiskStatements[[#This Row],[Vulnerability Rating]],VEMatrix[Vulnerability],_xlfn.XLOOKUP(RiskStatements[[#This Row],[Exposure Rating - 2100]],VEMatrix[#Headers],VEMatrix[]))</f>
        <v>Extreme</v>
      </c>
      <c r="P147" s="22">
        <f>_xlfn.XLOOKUP(RiskStatements[[#This Row],[Risk Rating - Present]],RatingOrder[Rating Order],RatingOrder[Rating Score],0,0)</f>
        <v>3</v>
      </c>
      <c r="Q147" s="22">
        <f>_xlfn.XLOOKUP(RiskStatements[[#This Row],[Risk Rating - 2050]],RatingOrder[Rating Order],RatingOrder[Rating Score],0,0)</f>
        <v>4</v>
      </c>
      <c r="R147" s="22">
        <f>_xlfn.XLOOKUP(RiskStatements[[#This Row],[Risk Rating - 2100]],RatingOrder[Rating Order],RatingOrder[Rating Score],0,0)</f>
        <v>4</v>
      </c>
      <c r="S14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48" spans="1:19" hidden="1" x14ac:dyDescent="0.35">
      <c r="A148" s="22" t="s">
        <v>120</v>
      </c>
      <c r="B148" s="22" t="s">
        <v>70</v>
      </c>
      <c r="C148" s="22" t="s">
        <v>135</v>
      </c>
      <c r="D148" s="22" t="str">
        <f>"V - " &amp;RiskStatements[[#This Row],[Climate Variables/Explainers]]</f>
        <v>V - Tropical Cyclone</v>
      </c>
      <c r="E148" s="22" t="str">
        <f>"EP - " &amp;RiskStatements[[#This Row],[Climate Variables/Explainers]]</f>
        <v>EP - Tropical Cyclone</v>
      </c>
      <c r="F148" s="22" t="str">
        <f>"E2050 - " &amp;RiskStatements[[#This Row],[Climate Variables/Explainers]]</f>
        <v>E2050 - Tropical Cyclone</v>
      </c>
      <c r="G148" s="22" t="str">
        <f>"E2100 - " &amp;RiskStatements[[#This Row],[Climate Variables/Explainers]]</f>
        <v>E2100 - Tropical Cyclone</v>
      </c>
      <c r="H148" s="22" t="str" cm="1">
        <f t="array" ref="H148">_xlfn.XLOOKUP(RiskStatements[[#This Row],[Elements at Risk]],Final_VEValues[Elements at Risk],_xlfn.XLOOKUP(RiskStatements[[#This Row],[Vulnerability Header]],Final_VEValues[#Headers],Final_VEValues[]))</f>
        <v>H</v>
      </c>
      <c r="I148" s="22" t="str" cm="1">
        <f t="array" ref="I148">_xlfn.XLOOKUP(RiskStatements[[#This Row],[Elements at Risk]],Final_VEValues[Elements at Risk],_xlfn.XLOOKUP(RiskStatements[[#This Row],[Exposure Present Header]],Final_VEValues[#Headers],Final_VEValues[]))</f>
        <v>H</v>
      </c>
      <c r="J148" s="22" t="str" cm="1">
        <f t="array" ref="J148">_xlfn.XLOOKUP(RiskStatements[[#This Row],[Elements at Risk]],Final_VEValues[Elements at Risk],_xlfn.XLOOKUP(RiskStatements[[#This Row],[Exposure 2050 Header]],Final_VEValues[#Headers],Final_VEValues[]))</f>
        <v>E</v>
      </c>
      <c r="K148" s="22" t="str" cm="1">
        <f t="array" ref="K148">_xlfn.XLOOKUP(RiskStatements[[#This Row],[Elements at Risk]],Final_VEValues[Elements at Risk],_xlfn.XLOOKUP(RiskStatements[[#This Row],[Exposure 2100 Header]],Final_VEValues[#Headers],Final_VEValues[]))</f>
        <v>E</v>
      </c>
      <c r="L148" s="22" t="str">
        <f>_xlfn.CONCAT(RiskStatements[[#This Row],[Climate Variables/Explainers]]," risk to ",RiskStatements[[#This Row],[Elements at Risk]])</f>
        <v>Tropical Cyclone risk to Wastewater Infrastructure</v>
      </c>
      <c r="M148" s="22" t="str" cm="1">
        <f t="array" ref="M148">_xlfn.XLOOKUP(RiskStatements[[#This Row],[Vulnerability Rating]],VEMatrix[Vulnerability],_xlfn.XLOOKUP(RiskStatements[[#This Row],[Exposure Rating - Present]],VEMatrix[#Headers],VEMatrix[]))</f>
        <v>High</v>
      </c>
      <c r="N148" s="22" t="str" cm="1">
        <f t="array" ref="N148">_xlfn.XLOOKUP(RiskStatements[[#This Row],[Vulnerability Rating]],VEMatrix[Vulnerability],_xlfn.XLOOKUP(RiskStatements[[#This Row],[Exposure Rating - 2050]],VEMatrix[#Headers],VEMatrix[]))</f>
        <v>Extreme</v>
      </c>
      <c r="O148" s="22" t="str" cm="1">
        <f t="array" ref="O148">_xlfn.XLOOKUP(RiskStatements[[#This Row],[Vulnerability Rating]],VEMatrix[Vulnerability],_xlfn.XLOOKUP(RiskStatements[[#This Row],[Exposure Rating - 2100]],VEMatrix[#Headers],VEMatrix[]))</f>
        <v>Extreme</v>
      </c>
      <c r="P148" s="22">
        <f>_xlfn.XLOOKUP(RiskStatements[[#This Row],[Risk Rating - Present]],RatingOrder[Rating Order],RatingOrder[Rating Score],0,0)</f>
        <v>3</v>
      </c>
      <c r="Q148" s="22">
        <f>_xlfn.XLOOKUP(RiskStatements[[#This Row],[Risk Rating - 2050]],RatingOrder[Rating Order],RatingOrder[Rating Score],0,0)</f>
        <v>4</v>
      </c>
      <c r="R148" s="22">
        <f>_xlfn.XLOOKUP(RiskStatements[[#This Row],[Risk Rating - 2100]],RatingOrder[Rating Order],RatingOrder[Rating Score],0,0)</f>
        <v>4</v>
      </c>
      <c r="S14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49" spans="1:19" hidden="1" x14ac:dyDescent="0.35">
      <c r="A149" s="22" t="s">
        <v>120</v>
      </c>
      <c r="B149" s="22" t="s">
        <v>223</v>
      </c>
      <c r="C149" s="22" t="s">
        <v>135</v>
      </c>
      <c r="D149" s="22" t="str">
        <f>"V - " &amp;RiskStatements[[#This Row],[Climate Variables/Explainers]]</f>
        <v>V - Tropical Cyclone</v>
      </c>
      <c r="E149" s="22" t="str">
        <f>"EP - " &amp;RiskStatements[[#This Row],[Climate Variables/Explainers]]</f>
        <v>EP - Tropical Cyclone</v>
      </c>
      <c r="F149" s="22" t="str">
        <f>"E2050 - " &amp;RiskStatements[[#This Row],[Climate Variables/Explainers]]</f>
        <v>E2050 - Tropical Cyclone</v>
      </c>
      <c r="G149" s="22" t="str">
        <f>"E2100 - " &amp;RiskStatements[[#This Row],[Climate Variables/Explainers]]</f>
        <v>E2100 - Tropical Cyclone</v>
      </c>
      <c r="H149" s="22" t="str" cm="1">
        <f t="array" ref="H149">_xlfn.XLOOKUP(RiskStatements[[#This Row],[Elements at Risk]],Final_VEValues[Elements at Risk],_xlfn.XLOOKUP(RiskStatements[[#This Row],[Vulnerability Header]],Final_VEValues[#Headers],Final_VEValues[]))</f>
        <v>H</v>
      </c>
      <c r="I149" s="22" t="str" cm="1">
        <f t="array" ref="I149">_xlfn.XLOOKUP(RiskStatements[[#This Row],[Elements at Risk]],Final_VEValues[Elements at Risk],_xlfn.XLOOKUP(RiskStatements[[#This Row],[Exposure Present Header]],Final_VEValues[#Headers],Final_VEValues[]))</f>
        <v>H</v>
      </c>
      <c r="J149" s="22" t="str" cm="1">
        <f t="array" ref="J149">_xlfn.XLOOKUP(RiskStatements[[#This Row],[Elements at Risk]],Final_VEValues[Elements at Risk],_xlfn.XLOOKUP(RiskStatements[[#This Row],[Exposure 2050 Header]],Final_VEValues[#Headers],Final_VEValues[]))</f>
        <v>E</v>
      </c>
      <c r="K149" s="22" t="str" cm="1">
        <f t="array" ref="K149">_xlfn.XLOOKUP(RiskStatements[[#This Row],[Elements at Risk]],Final_VEValues[Elements at Risk],_xlfn.XLOOKUP(RiskStatements[[#This Row],[Exposure 2100 Header]],Final_VEValues[#Headers],Final_VEValues[]))</f>
        <v>E</v>
      </c>
      <c r="L149" s="22" t="str">
        <f>_xlfn.CONCAT(RiskStatements[[#This Row],[Climate Variables/Explainers]]," risk to ",RiskStatements[[#This Row],[Elements at Risk]])</f>
        <v>Tropical Cyclone risk to Transportation Assets</v>
      </c>
      <c r="M149" s="22" t="str" cm="1">
        <f t="array" ref="M149">_xlfn.XLOOKUP(RiskStatements[[#This Row],[Vulnerability Rating]],VEMatrix[Vulnerability],_xlfn.XLOOKUP(RiskStatements[[#This Row],[Exposure Rating - Present]],VEMatrix[#Headers],VEMatrix[]))</f>
        <v>High</v>
      </c>
      <c r="N149" s="22" t="str" cm="1">
        <f t="array" ref="N149">_xlfn.XLOOKUP(RiskStatements[[#This Row],[Vulnerability Rating]],VEMatrix[Vulnerability],_xlfn.XLOOKUP(RiskStatements[[#This Row],[Exposure Rating - 2050]],VEMatrix[#Headers],VEMatrix[]))</f>
        <v>Extreme</v>
      </c>
      <c r="O149" s="22" t="str" cm="1">
        <f t="array" ref="O149">_xlfn.XLOOKUP(RiskStatements[[#This Row],[Vulnerability Rating]],VEMatrix[Vulnerability],_xlfn.XLOOKUP(RiskStatements[[#This Row],[Exposure Rating - 2100]],VEMatrix[#Headers],VEMatrix[]))</f>
        <v>Extreme</v>
      </c>
      <c r="P149" s="22">
        <f>_xlfn.XLOOKUP(RiskStatements[[#This Row],[Risk Rating - Present]],RatingOrder[Rating Order],RatingOrder[Rating Score],0,0)</f>
        <v>3</v>
      </c>
      <c r="Q149" s="22">
        <f>_xlfn.XLOOKUP(RiskStatements[[#This Row],[Risk Rating - 2050]],RatingOrder[Rating Order],RatingOrder[Rating Score],0,0)</f>
        <v>4</v>
      </c>
      <c r="R149" s="22">
        <f>_xlfn.XLOOKUP(RiskStatements[[#This Row],[Risk Rating - 2100]],RatingOrder[Rating Order],RatingOrder[Rating Score],0,0)</f>
        <v>4</v>
      </c>
      <c r="S14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50" spans="1:19" hidden="1" x14ac:dyDescent="0.35">
      <c r="A150" s="22" t="s">
        <v>120</v>
      </c>
      <c r="B150" s="22" t="s">
        <v>122</v>
      </c>
      <c r="C150" s="22" t="s">
        <v>135</v>
      </c>
      <c r="D150" s="22" t="str">
        <f>"V - " &amp;RiskStatements[[#This Row],[Climate Variables/Explainers]]</f>
        <v>V - Tropical Cyclone</v>
      </c>
      <c r="E150" s="22" t="str">
        <f>"EP - " &amp;RiskStatements[[#This Row],[Climate Variables/Explainers]]</f>
        <v>EP - Tropical Cyclone</v>
      </c>
      <c r="F150" s="22" t="str">
        <f>"E2050 - " &amp;RiskStatements[[#This Row],[Climate Variables/Explainers]]</f>
        <v>E2050 - Tropical Cyclone</v>
      </c>
      <c r="G150" s="22" t="str">
        <f>"E2100 - " &amp;RiskStatements[[#This Row],[Climate Variables/Explainers]]</f>
        <v>E2100 - Tropical Cyclone</v>
      </c>
      <c r="H150" s="22" t="str" cm="1">
        <f t="array" ref="H150">_xlfn.XLOOKUP(RiskStatements[[#This Row],[Elements at Risk]],Final_VEValues[Elements at Risk],_xlfn.XLOOKUP(RiskStatements[[#This Row],[Vulnerability Header]],Final_VEValues[#Headers],Final_VEValues[]))</f>
        <v>H</v>
      </c>
      <c r="I150" s="22" t="str" cm="1">
        <f t="array" ref="I150">_xlfn.XLOOKUP(RiskStatements[[#This Row],[Elements at Risk]],Final_VEValues[Elements at Risk],_xlfn.XLOOKUP(RiskStatements[[#This Row],[Exposure Present Header]],Final_VEValues[#Headers],Final_VEValues[]))</f>
        <v>M</v>
      </c>
      <c r="J150" s="22" t="str" cm="1">
        <f t="array" ref="J150">_xlfn.XLOOKUP(RiskStatements[[#This Row],[Elements at Risk]],Final_VEValues[Elements at Risk],_xlfn.XLOOKUP(RiskStatements[[#This Row],[Exposure 2050 Header]],Final_VEValues[#Headers],Final_VEValues[]))</f>
        <v>H</v>
      </c>
      <c r="K150" s="22" t="str" cm="1">
        <f t="array" ref="K150">_xlfn.XLOOKUP(RiskStatements[[#This Row],[Elements at Risk]],Final_VEValues[Elements at Risk],_xlfn.XLOOKUP(RiskStatements[[#This Row],[Exposure 2100 Header]],Final_VEValues[#Headers],Final_VEValues[]))</f>
        <v>E</v>
      </c>
      <c r="L150" s="22" t="str">
        <f>_xlfn.CONCAT(RiskStatements[[#This Row],[Climate Variables/Explainers]]," risk to ",RiskStatements[[#This Row],[Elements at Risk]])</f>
        <v>Tropical Cyclone risk to Water Supply</v>
      </c>
      <c r="M150" s="22" t="str" cm="1">
        <f t="array" ref="M150">_xlfn.XLOOKUP(RiskStatements[[#This Row],[Vulnerability Rating]],VEMatrix[Vulnerability],_xlfn.XLOOKUP(RiskStatements[[#This Row],[Exposure Rating - Present]],VEMatrix[#Headers],VEMatrix[]))</f>
        <v>Moderate</v>
      </c>
      <c r="N150" s="22" t="str" cm="1">
        <f t="array" ref="N150">_xlfn.XLOOKUP(RiskStatements[[#This Row],[Vulnerability Rating]],VEMatrix[Vulnerability],_xlfn.XLOOKUP(RiskStatements[[#This Row],[Exposure Rating - 2050]],VEMatrix[#Headers],VEMatrix[]))</f>
        <v>High</v>
      </c>
      <c r="O150" s="22" t="str" cm="1">
        <f t="array" ref="O150">_xlfn.XLOOKUP(RiskStatements[[#This Row],[Vulnerability Rating]],VEMatrix[Vulnerability],_xlfn.XLOOKUP(RiskStatements[[#This Row],[Exposure Rating - 2100]],VEMatrix[#Headers],VEMatrix[]))</f>
        <v>Extreme</v>
      </c>
      <c r="P150" s="22">
        <f>_xlfn.XLOOKUP(RiskStatements[[#This Row],[Risk Rating - Present]],RatingOrder[Rating Order],RatingOrder[Rating Score],0,0)</f>
        <v>2</v>
      </c>
      <c r="Q150" s="22">
        <f>_xlfn.XLOOKUP(RiskStatements[[#This Row],[Risk Rating - 2050]],RatingOrder[Rating Order],RatingOrder[Rating Score],0,0)</f>
        <v>3</v>
      </c>
      <c r="R150" s="22">
        <f>_xlfn.XLOOKUP(RiskStatements[[#This Row],[Risk Rating - 2100]],RatingOrder[Rating Order],RatingOrder[Rating Score],0,0)</f>
        <v>4</v>
      </c>
      <c r="S15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51" spans="1:19" hidden="1" x14ac:dyDescent="0.35">
      <c r="A151" s="22" t="s">
        <v>120</v>
      </c>
      <c r="B151" s="22" t="s">
        <v>224</v>
      </c>
      <c r="C151" s="22" t="s">
        <v>135</v>
      </c>
      <c r="D151" s="22" t="str">
        <f>"V - " &amp;RiskStatements[[#This Row],[Climate Variables/Explainers]]</f>
        <v>V - Tropical Cyclone</v>
      </c>
      <c r="E151" s="22" t="str">
        <f>"EP - " &amp;RiskStatements[[#This Row],[Climate Variables/Explainers]]</f>
        <v>EP - Tropical Cyclone</v>
      </c>
      <c r="F151" s="22" t="str">
        <f>"E2050 - " &amp;RiskStatements[[#This Row],[Climate Variables/Explainers]]</f>
        <v>E2050 - Tropical Cyclone</v>
      </c>
      <c r="G151" s="22" t="str">
        <f>"E2100 - " &amp;RiskStatements[[#This Row],[Climate Variables/Explainers]]</f>
        <v>E2100 - Tropical Cyclone</v>
      </c>
      <c r="H151" s="22" t="str" cm="1">
        <f t="array" ref="H151">_xlfn.XLOOKUP(RiskStatements[[#This Row],[Elements at Risk]],Final_VEValues[Elements at Risk],_xlfn.XLOOKUP(RiskStatements[[#This Row],[Vulnerability Header]],Final_VEValues[#Headers],Final_VEValues[]))</f>
        <v>H</v>
      </c>
      <c r="I151" s="22" t="str" cm="1">
        <f t="array" ref="I151">_xlfn.XLOOKUP(RiskStatements[[#This Row],[Elements at Risk]],Final_VEValues[Elements at Risk],_xlfn.XLOOKUP(RiskStatements[[#This Row],[Exposure Present Header]],Final_VEValues[#Headers],Final_VEValues[]))</f>
        <v>H</v>
      </c>
      <c r="J151" s="22" t="str" cm="1">
        <f t="array" ref="J151">_xlfn.XLOOKUP(RiskStatements[[#This Row],[Elements at Risk]],Final_VEValues[Elements at Risk],_xlfn.XLOOKUP(RiskStatements[[#This Row],[Exposure 2050 Header]],Final_VEValues[#Headers],Final_VEValues[]))</f>
        <v>E</v>
      </c>
      <c r="K151" s="22" t="str" cm="1">
        <f t="array" ref="K151">_xlfn.XLOOKUP(RiskStatements[[#This Row],[Elements at Risk]],Final_VEValues[Elements at Risk],_xlfn.XLOOKUP(RiskStatements[[#This Row],[Exposure 2100 Header]],Final_VEValues[#Headers],Final_VEValues[]))</f>
        <v>E</v>
      </c>
      <c r="L151" s="22" t="str">
        <f>_xlfn.CONCAT(RiskStatements[[#This Row],[Climate Variables/Explainers]]," risk to ",RiskStatements[[#This Row],[Elements at Risk]])</f>
        <v>Tropical Cyclone risk to Stormwater / Flood Management</v>
      </c>
      <c r="M151" s="22" t="str" cm="1">
        <f t="array" ref="M151">_xlfn.XLOOKUP(RiskStatements[[#This Row],[Vulnerability Rating]],VEMatrix[Vulnerability],_xlfn.XLOOKUP(RiskStatements[[#This Row],[Exposure Rating - Present]],VEMatrix[#Headers],VEMatrix[]))</f>
        <v>High</v>
      </c>
      <c r="N151" s="22" t="str" cm="1">
        <f t="array" ref="N151">_xlfn.XLOOKUP(RiskStatements[[#This Row],[Vulnerability Rating]],VEMatrix[Vulnerability],_xlfn.XLOOKUP(RiskStatements[[#This Row],[Exposure Rating - 2050]],VEMatrix[#Headers],VEMatrix[]))</f>
        <v>Extreme</v>
      </c>
      <c r="O151" s="22" t="str" cm="1">
        <f t="array" ref="O151">_xlfn.XLOOKUP(RiskStatements[[#This Row],[Vulnerability Rating]],VEMatrix[Vulnerability],_xlfn.XLOOKUP(RiskStatements[[#This Row],[Exposure Rating - 2100]],VEMatrix[#Headers],VEMatrix[]))</f>
        <v>Extreme</v>
      </c>
      <c r="P151" s="22">
        <f>_xlfn.XLOOKUP(RiskStatements[[#This Row],[Risk Rating - Present]],RatingOrder[Rating Order],RatingOrder[Rating Score],0,0)</f>
        <v>3</v>
      </c>
      <c r="Q151" s="22">
        <f>_xlfn.XLOOKUP(RiskStatements[[#This Row],[Risk Rating - 2050]],RatingOrder[Rating Order],RatingOrder[Rating Score],0,0)</f>
        <v>4</v>
      </c>
      <c r="R151" s="22">
        <f>_xlfn.XLOOKUP(RiskStatements[[#This Row],[Risk Rating - 2100]],RatingOrder[Rating Order],RatingOrder[Rating Score],0,0)</f>
        <v>4</v>
      </c>
      <c r="S15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52" spans="1:19" hidden="1" x14ac:dyDescent="0.35">
      <c r="A152" s="22" t="s">
        <v>120</v>
      </c>
      <c r="B152" s="22" t="s">
        <v>212</v>
      </c>
      <c r="C152" s="22" t="s">
        <v>135</v>
      </c>
      <c r="D152" s="22" t="str">
        <f>"V - " &amp;RiskStatements[[#This Row],[Climate Variables/Explainers]]</f>
        <v>V - Tropical Cyclone</v>
      </c>
      <c r="E152" s="22" t="str">
        <f>"EP - " &amp;RiskStatements[[#This Row],[Climate Variables/Explainers]]</f>
        <v>EP - Tropical Cyclone</v>
      </c>
      <c r="F152" s="22" t="str">
        <f>"E2050 - " &amp;RiskStatements[[#This Row],[Climate Variables/Explainers]]</f>
        <v>E2050 - Tropical Cyclone</v>
      </c>
      <c r="G152" s="22" t="str">
        <f>"E2100 - " &amp;RiskStatements[[#This Row],[Climate Variables/Explainers]]</f>
        <v>E2100 - Tropical Cyclone</v>
      </c>
      <c r="H152" s="22" t="str" cm="1">
        <f t="array" ref="H152">_xlfn.XLOOKUP(RiskStatements[[#This Row],[Elements at Risk]],Final_VEValues[Elements at Risk],_xlfn.XLOOKUP(RiskStatements[[#This Row],[Vulnerability Header]],Final_VEValues[#Headers],Final_VEValues[]))</f>
        <v>H</v>
      </c>
      <c r="I152" s="22" t="str" cm="1">
        <f t="array" ref="I152">_xlfn.XLOOKUP(RiskStatements[[#This Row],[Elements at Risk]],Final_VEValues[Elements at Risk],_xlfn.XLOOKUP(RiskStatements[[#This Row],[Exposure Present Header]],Final_VEValues[#Headers],Final_VEValues[]))</f>
        <v>H</v>
      </c>
      <c r="J152" s="22" t="str" cm="1">
        <f t="array" ref="J152">_xlfn.XLOOKUP(RiskStatements[[#This Row],[Elements at Risk]],Final_VEValues[Elements at Risk],_xlfn.XLOOKUP(RiskStatements[[#This Row],[Exposure 2050 Header]],Final_VEValues[#Headers],Final_VEValues[]))</f>
        <v>E</v>
      </c>
      <c r="K152" s="22" t="str" cm="1">
        <f t="array" ref="K152">_xlfn.XLOOKUP(RiskStatements[[#This Row],[Elements at Risk]],Final_VEValues[Elements at Risk],_xlfn.XLOOKUP(RiskStatements[[#This Row],[Exposure 2100 Header]],Final_VEValues[#Headers],Final_VEValues[]))</f>
        <v>E</v>
      </c>
      <c r="L152" s="22" t="str">
        <f>_xlfn.CONCAT(RiskStatements[[#This Row],[Climate Variables/Explainers]]," risk to ",RiskStatements[[#This Row],[Elements at Risk]])</f>
        <v>Tropical Cyclone risk to Uninhabited Buildings</v>
      </c>
      <c r="M152" s="22" t="str" cm="1">
        <f t="array" ref="M152">_xlfn.XLOOKUP(RiskStatements[[#This Row],[Vulnerability Rating]],VEMatrix[Vulnerability],_xlfn.XLOOKUP(RiskStatements[[#This Row],[Exposure Rating - Present]],VEMatrix[#Headers],VEMatrix[]))</f>
        <v>High</v>
      </c>
      <c r="N152" s="22" t="str" cm="1">
        <f t="array" ref="N152">_xlfn.XLOOKUP(RiskStatements[[#This Row],[Vulnerability Rating]],VEMatrix[Vulnerability],_xlfn.XLOOKUP(RiskStatements[[#This Row],[Exposure Rating - 2050]],VEMatrix[#Headers],VEMatrix[]))</f>
        <v>Extreme</v>
      </c>
      <c r="O152" s="22" t="str" cm="1">
        <f t="array" ref="O152">_xlfn.XLOOKUP(RiskStatements[[#This Row],[Vulnerability Rating]],VEMatrix[Vulnerability],_xlfn.XLOOKUP(RiskStatements[[#This Row],[Exposure Rating - 2100]],VEMatrix[#Headers],VEMatrix[]))</f>
        <v>Extreme</v>
      </c>
      <c r="P152" s="22">
        <f>_xlfn.XLOOKUP(RiskStatements[[#This Row],[Risk Rating - Present]],RatingOrder[Rating Order],RatingOrder[Rating Score],0,0)</f>
        <v>3</v>
      </c>
      <c r="Q152" s="22">
        <f>_xlfn.XLOOKUP(RiskStatements[[#This Row],[Risk Rating - 2050]],RatingOrder[Rating Order],RatingOrder[Rating Score],0,0)</f>
        <v>4</v>
      </c>
      <c r="R152" s="22">
        <f>_xlfn.XLOOKUP(RiskStatements[[#This Row],[Risk Rating - 2100]],RatingOrder[Rating Order],RatingOrder[Rating Score],0,0)</f>
        <v>4</v>
      </c>
      <c r="S15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53" spans="1:19" hidden="1" x14ac:dyDescent="0.35">
      <c r="A153" s="22" t="s">
        <v>120</v>
      </c>
      <c r="B153" s="22" t="s">
        <v>74</v>
      </c>
      <c r="C153" s="22" t="s">
        <v>135</v>
      </c>
      <c r="D153" s="22" t="str">
        <f>"V - " &amp;RiskStatements[[#This Row],[Climate Variables/Explainers]]</f>
        <v>V - Tropical Cyclone</v>
      </c>
      <c r="E153" s="22" t="str">
        <f>"EP - " &amp;RiskStatements[[#This Row],[Climate Variables/Explainers]]</f>
        <v>EP - Tropical Cyclone</v>
      </c>
      <c r="F153" s="22" t="str">
        <f>"E2050 - " &amp;RiskStatements[[#This Row],[Climate Variables/Explainers]]</f>
        <v>E2050 - Tropical Cyclone</v>
      </c>
      <c r="G153" s="22" t="str">
        <f>"E2100 - " &amp;RiskStatements[[#This Row],[Climate Variables/Explainers]]</f>
        <v>E2100 - Tropical Cyclone</v>
      </c>
      <c r="H153" s="22" t="str" cm="1">
        <f t="array" ref="H153">_xlfn.XLOOKUP(RiskStatements[[#This Row],[Elements at Risk]],Final_VEValues[Elements at Risk],_xlfn.XLOOKUP(RiskStatements[[#This Row],[Vulnerability Header]],Final_VEValues[#Headers],Final_VEValues[]))</f>
        <v>H</v>
      </c>
      <c r="I153" s="22" t="str" cm="1">
        <f t="array" ref="I153">_xlfn.XLOOKUP(RiskStatements[[#This Row],[Elements at Risk]],Final_VEValues[Elements at Risk],_xlfn.XLOOKUP(RiskStatements[[#This Row],[Exposure Present Header]],Final_VEValues[#Headers],Final_VEValues[]))</f>
        <v>M</v>
      </c>
      <c r="J153" s="22" t="str" cm="1">
        <f t="array" ref="J153">_xlfn.XLOOKUP(RiskStatements[[#This Row],[Elements at Risk]],Final_VEValues[Elements at Risk],_xlfn.XLOOKUP(RiskStatements[[#This Row],[Exposure 2050 Header]],Final_VEValues[#Headers],Final_VEValues[]))</f>
        <v>H</v>
      </c>
      <c r="K153" s="22" t="str" cm="1">
        <f t="array" ref="K153">_xlfn.XLOOKUP(RiskStatements[[#This Row],[Elements at Risk]],Final_VEValues[Elements at Risk],_xlfn.XLOOKUP(RiskStatements[[#This Row],[Exposure 2100 Header]],Final_VEValues[#Headers],Final_VEValues[]))</f>
        <v>E</v>
      </c>
      <c r="L153" s="22" t="str">
        <f>_xlfn.CONCAT(RiskStatements[[#This Row],[Climate Variables/Explainers]]," risk to ",RiskStatements[[#This Row],[Elements at Risk]])</f>
        <v>Tropical Cyclone risk to Evacuation Structures</v>
      </c>
      <c r="M153" s="22" t="str" cm="1">
        <f t="array" ref="M153">_xlfn.XLOOKUP(RiskStatements[[#This Row],[Vulnerability Rating]],VEMatrix[Vulnerability],_xlfn.XLOOKUP(RiskStatements[[#This Row],[Exposure Rating - Present]],VEMatrix[#Headers],VEMatrix[]))</f>
        <v>Moderate</v>
      </c>
      <c r="N153" s="22" t="str" cm="1">
        <f t="array" ref="N153">_xlfn.XLOOKUP(RiskStatements[[#This Row],[Vulnerability Rating]],VEMatrix[Vulnerability],_xlfn.XLOOKUP(RiskStatements[[#This Row],[Exposure Rating - 2050]],VEMatrix[#Headers],VEMatrix[]))</f>
        <v>High</v>
      </c>
      <c r="O153" s="22" t="str" cm="1">
        <f t="array" ref="O153">_xlfn.XLOOKUP(RiskStatements[[#This Row],[Vulnerability Rating]],VEMatrix[Vulnerability],_xlfn.XLOOKUP(RiskStatements[[#This Row],[Exposure Rating - 2100]],VEMatrix[#Headers],VEMatrix[]))</f>
        <v>Extreme</v>
      </c>
      <c r="P153" s="22">
        <f>_xlfn.XLOOKUP(RiskStatements[[#This Row],[Risk Rating - Present]],RatingOrder[Rating Order],RatingOrder[Rating Score],0,0)</f>
        <v>2</v>
      </c>
      <c r="Q153" s="22">
        <f>_xlfn.XLOOKUP(RiskStatements[[#This Row],[Risk Rating - 2050]],RatingOrder[Rating Order],RatingOrder[Rating Score],0,0)</f>
        <v>3</v>
      </c>
      <c r="R153" s="22">
        <f>_xlfn.XLOOKUP(RiskStatements[[#This Row],[Risk Rating - 2100]],RatingOrder[Rating Order],RatingOrder[Rating Score],0,0)</f>
        <v>4</v>
      </c>
      <c r="S153"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54" spans="1:19" hidden="1" x14ac:dyDescent="0.35">
      <c r="A154" s="22" t="s">
        <v>46</v>
      </c>
      <c r="B154" s="22" t="s">
        <v>227</v>
      </c>
      <c r="C154" s="22" t="s">
        <v>135</v>
      </c>
      <c r="D154" s="22" t="str">
        <f>"V - " &amp;RiskStatements[[#This Row],[Climate Variables/Explainers]]</f>
        <v>V - Tropical Cyclone</v>
      </c>
      <c r="E154" s="22" t="str">
        <f>"EP - " &amp;RiskStatements[[#This Row],[Climate Variables/Explainers]]</f>
        <v>EP - Tropical Cyclone</v>
      </c>
      <c r="F154" s="22" t="str">
        <f>"E2050 - " &amp;RiskStatements[[#This Row],[Climate Variables/Explainers]]</f>
        <v>E2050 - Tropical Cyclone</v>
      </c>
      <c r="G154" s="22" t="str">
        <f>"E2100 - " &amp;RiskStatements[[#This Row],[Climate Variables/Explainers]]</f>
        <v>E2100 - Tropical Cyclone</v>
      </c>
      <c r="H154" s="22" t="str" cm="1">
        <f t="array" ref="H154">_xlfn.XLOOKUP(RiskStatements[[#This Row],[Elements at Risk]],Final_VEValues[Elements at Risk],_xlfn.XLOOKUP(RiskStatements[[#This Row],[Vulnerability Header]],Final_VEValues[#Headers],Final_VEValues[]))</f>
        <v>E</v>
      </c>
      <c r="I154" s="22" t="str" cm="1">
        <f t="array" ref="I154">_xlfn.XLOOKUP(RiskStatements[[#This Row],[Elements at Risk]],Final_VEValues[Elements at Risk],_xlfn.XLOOKUP(RiskStatements[[#This Row],[Exposure Present Header]],Final_VEValues[#Headers],Final_VEValues[]))</f>
        <v>H</v>
      </c>
      <c r="J154" s="22" t="str" cm="1">
        <f t="array" ref="J154">_xlfn.XLOOKUP(RiskStatements[[#This Row],[Elements at Risk]],Final_VEValues[Elements at Risk],_xlfn.XLOOKUP(RiskStatements[[#This Row],[Exposure 2050 Header]],Final_VEValues[#Headers],Final_VEValues[]))</f>
        <v>E</v>
      </c>
      <c r="K154" s="22" t="str" cm="1">
        <f t="array" ref="K154">_xlfn.XLOOKUP(RiskStatements[[#This Row],[Elements at Risk]],Final_VEValues[Elements at Risk],_xlfn.XLOOKUP(RiskStatements[[#This Row],[Exposure 2100 Header]],Final_VEValues[#Headers],Final_VEValues[]))</f>
        <v>E</v>
      </c>
      <c r="L154" s="22" t="str">
        <f>_xlfn.CONCAT(RiskStatements[[#This Row],[Climate Variables/Explainers]]," risk to ",RiskStatements[[#This Row],[Elements at Risk]])</f>
        <v>Tropical Cyclone risk to Outdoor Land Activities</v>
      </c>
      <c r="M154" s="22" t="str" cm="1">
        <f t="array" ref="M154">_xlfn.XLOOKUP(RiskStatements[[#This Row],[Vulnerability Rating]],VEMatrix[Vulnerability],_xlfn.XLOOKUP(RiskStatements[[#This Row],[Exposure Rating - Present]],VEMatrix[#Headers],VEMatrix[]))</f>
        <v>Extreme</v>
      </c>
      <c r="N154" s="22" t="str" cm="1">
        <f t="array" ref="N154">_xlfn.XLOOKUP(RiskStatements[[#This Row],[Vulnerability Rating]],VEMatrix[Vulnerability],_xlfn.XLOOKUP(RiskStatements[[#This Row],[Exposure Rating - 2050]],VEMatrix[#Headers],VEMatrix[]))</f>
        <v>Extreme</v>
      </c>
      <c r="O154" s="22" t="str" cm="1">
        <f t="array" ref="O154">_xlfn.XLOOKUP(RiskStatements[[#This Row],[Vulnerability Rating]],VEMatrix[Vulnerability],_xlfn.XLOOKUP(RiskStatements[[#This Row],[Exposure Rating - 2100]],VEMatrix[#Headers],VEMatrix[]))</f>
        <v>Extreme</v>
      </c>
      <c r="P154" s="22">
        <f>_xlfn.XLOOKUP(RiskStatements[[#This Row],[Risk Rating - Present]],RatingOrder[Rating Order],RatingOrder[Rating Score],0,0)</f>
        <v>4</v>
      </c>
      <c r="Q154" s="22">
        <f>_xlfn.XLOOKUP(RiskStatements[[#This Row],[Risk Rating - 2050]],RatingOrder[Rating Order],RatingOrder[Rating Score],0,0)</f>
        <v>4</v>
      </c>
      <c r="R154" s="22">
        <f>_xlfn.XLOOKUP(RiskStatements[[#This Row],[Risk Rating - 2100]],RatingOrder[Rating Order],RatingOrder[Rating Score],0,0)</f>
        <v>4</v>
      </c>
      <c r="S154"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55" spans="1:19" hidden="1" x14ac:dyDescent="0.35">
      <c r="A155" s="22" t="s">
        <v>46</v>
      </c>
      <c r="B155" s="22" t="s">
        <v>226</v>
      </c>
      <c r="C155" s="22" t="s">
        <v>135</v>
      </c>
      <c r="D155" s="22" t="str">
        <f>"V - " &amp;RiskStatements[[#This Row],[Climate Variables/Explainers]]</f>
        <v>V - Tropical Cyclone</v>
      </c>
      <c r="E155" s="22" t="str">
        <f>"EP - " &amp;RiskStatements[[#This Row],[Climate Variables/Explainers]]</f>
        <v>EP - Tropical Cyclone</v>
      </c>
      <c r="F155" s="22" t="str">
        <f>"E2050 - " &amp;RiskStatements[[#This Row],[Climate Variables/Explainers]]</f>
        <v>E2050 - Tropical Cyclone</v>
      </c>
      <c r="G155" s="22" t="str">
        <f>"E2100 - " &amp;RiskStatements[[#This Row],[Climate Variables/Explainers]]</f>
        <v>E2100 - Tropical Cyclone</v>
      </c>
      <c r="H155" s="22" t="str" cm="1">
        <f t="array" ref="H155">_xlfn.XLOOKUP(RiskStatements[[#This Row],[Elements at Risk]],Final_VEValues[Elements at Risk],_xlfn.XLOOKUP(RiskStatements[[#This Row],[Vulnerability Header]],Final_VEValues[#Headers],Final_VEValues[]))</f>
        <v>E</v>
      </c>
      <c r="I155" s="22" t="str" cm="1">
        <f t="array" ref="I155">_xlfn.XLOOKUP(RiskStatements[[#This Row],[Elements at Risk]],Final_VEValues[Elements at Risk],_xlfn.XLOOKUP(RiskStatements[[#This Row],[Exposure Present Header]],Final_VEValues[#Headers],Final_VEValues[]))</f>
        <v>H</v>
      </c>
      <c r="J155" s="22" t="str" cm="1">
        <f t="array" ref="J155">_xlfn.XLOOKUP(RiskStatements[[#This Row],[Elements at Risk]],Final_VEValues[Elements at Risk],_xlfn.XLOOKUP(RiskStatements[[#This Row],[Exposure 2050 Header]],Final_VEValues[#Headers],Final_VEValues[]))</f>
        <v>E</v>
      </c>
      <c r="K155" s="22" t="str" cm="1">
        <f t="array" ref="K155">_xlfn.XLOOKUP(RiskStatements[[#This Row],[Elements at Risk]],Final_VEValues[Elements at Risk],_xlfn.XLOOKUP(RiskStatements[[#This Row],[Exposure 2100 Header]],Final_VEValues[#Headers],Final_VEValues[]))</f>
        <v>E</v>
      </c>
      <c r="L155" s="22" t="str">
        <f>_xlfn.CONCAT(RiskStatements[[#This Row],[Climate Variables/Explainers]]," risk to ",RiskStatements[[#This Row],[Elements at Risk]])</f>
        <v>Tropical Cyclone risk to Outdoor Marine Activities</v>
      </c>
      <c r="M155" s="22" t="str" cm="1">
        <f t="array" ref="M155">_xlfn.XLOOKUP(RiskStatements[[#This Row],[Vulnerability Rating]],VEMatrix[Vulnerability],_xlfn.XLOOKUP(RiskStatements[[#This Row],[Exposure Rating - Present]],VEMatrix[#Headers],VEMatrix[]))</f>
        <v>Extreme</v>
      </c>
      <c r="N155" s="22" t="str" cm="1">
        <f t="array" ref="N155">_xlfn.XLOOKUP(RiskStatements[[#This Row],[Vulnerability Rating]],VEMatrix[Vulnerability],_xlfn.XLOOKUP(RiskStatements[[#This Row],[Exposure Rating - 2050]],VEMatrix[#Headers],VEMatrix[]))</f>
        <v>Extreme</v>
      </c>
      <c r="O155" s="22" t="str" cm="1">
        <f t="array" ref="O155">_xlfn.XLOOKUP(RiskStatements[[#This Row],[Vulnerability Rating]],VEMatrix[Vulnerability],_xlfn.XLOOKUP(RiskStatements[[#This Row],[Exposure Rating - 2100]],VEMatrix[#Headers],VEMatrix[]))</f>
        <v>Extreme</v>
      </c>
      <c r="P155" s="22">
        <f>_xlfn.XLOOKUP(RiskStatements[[#This Row],[Risk Rating - Present]],RatingOrder[Rating Order],RatingOrder[Rating Score],0,0)</f>
        <v>4</v>
      </c>
      <c r="Q155" s="22">
        <f>_xlfn.XLOOKUP(RiskStatements[[#This Row],[Risk Rating - 2050]],RatingOrder[Rating Order],RatingOrder[Rating Score],0,0)</f>
        <v>4</v>
      </c>
      <c r="R155" s="22">
        <f>_xlfn.XLOOKUP(RiskStatements[[#This Row],[Risk Rating - 2100]],RatingOrder[Rating Order],RatingOrder[Rating Score],0,0)</f>
        <v>4</v>
      </c>
      <c r="S155"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56" spans="1:19" hidden="1" x14ac:dyDescent="0.35">
      <c r="A156" s="22" t="s">
        <v>46</v>
      </c>
      <c r="B156" s="22" t="s">
        <v>225</v>
      </c>
      <c r="C156" s="22" t="s">
        <v>135</v>
      </c>
      <c r="D156" s="22" t="str">
        <f>"V - " &amp;RiskStatements[[#This Row],[Climate Variables/Explainers]]</f>
        <v>V - Tropical Cyclone</v>
      </c>
      <c r="E156" s="22" t="str">
        <f>"EP - " &amp;RiskStatements[[#This Row],[Climate Variables/Explainers]]</f>
        <v>EP - Tropical Cyclone</v>
      </c>
      <c r="F156" s="22" t="str">
        <f>"E2050 - " &amp;RiskStatements[[#This Row],[Climate Variables/Explainers]]</f>
        <v>E2050 - Tropical Cyclone</v>
      </c>
      <c r="G156" s="22" t="str">
        <f>"E2100 - " &amp;RiskStatements[[#This Row],[Climate Variables/Explainers]]</f>
        <v>E2100 - Tropical Cyclone</v>
      </c>
      <c r="H156" s="22" t="str" cm="1">
        <f t="array" ref="H156">_xlfn.XLOOKUP(RiskStatements[[#This Row],[Elements at Risk]],Final_VEValues[Elements at Risk],_xlfn.XLOOKUP(RiskStatements[[#This Row],[Vulnerability Header]],Final_VEValues[#Headers],Final_VEValues[]))</f>
        <v>E</v>
      </c>
      <c r="I156" s="22" t="str" cm="1">
        <f t="array" ref="I156">_xlfn.XLOOKUP(RiskStatements[[#This Row],[Elements at Risk]],Final_VEValues[Elements at Risk],_xlfn.XLOOKUP(RiskStatements[[#This Row],[Exposure Present Header]],Final_VEValues[#Headers],Final_VEValues[]))</f>
        <v>H</v>
      </c>
      <c r="J156" s="22" t="str" cm="1">
        <f t="array" ref="J156">_xlfn.XLOOKUP(RiskStatements[[#This Row],[Elements at Risk]],Final_VEValues[Elements at Risk],_xlfn.XLOOKUP(RiskStatements[[#This Row],[Exposure 2050 Header]],Final_VEValues[#Headers],Final_VEValues[]))</f>
        <v>E</v>
      </c>
      <c r="K156" s="22" t="str" cm="1">
        <f t="array" ref="K156">_xlfn.XLOOKUP(RiskStatements[[#This Row],[Elements at Risk]],Final_VEValues[Elements at Risk],_xlfn.XLOOKUP(RiskStatements[[#This Row],[Exposure 2100 Header]],Final_VEValues[#Headers],Final_VEValues[]))</f>
        <v>E</v>
      </c>
      <c r="L156" s="22" t="str">
        <f>_xlfn.CONCAT(RiskStatements[[#This Row],[Climate Variables/Explainers]]," risk to ",RiskStatements[[#This Row],[Elements at Risk]])</f>
        <v>Tropical Cyclone risk to Outdoor Freshwater Activities</v>
      </c>
      <c r="M156" s="22" t="str" cm="1">
        <f t="array" ref="M156">_xlfn.XLOOKUP(RiskStatements[[#This Row],[Vulnerability Rating]],VEMatrix[Vulnerability],_xlfn.XLOOKUP(RiskStatements[[#This Row],[Exposure Rating - Present]],VEMatrix[#Headers],VEMatrix[]))</f>
        <v>Extreme</v>
      </c>
      <c r="N156" s="22" t="str" cm="1">
        <f t="array" ref="N156">_xlfn.XLOOKUP(RiskStatements[[#This Row],[Vulnerability Rating]],VEMatrix[Vulnerability],_xlfn.XLOOKUP(RiskStatements[[#This Row],[Exposure Rating - 2050]],VEMatrix[#Headers],VEMatrix[]))</f>
        <v>Extreme</v>
      </c>
      <c r="O156" s="22" t="str" cm="1">
        <f t="array" ref="O156">_xlfn.XLOOKUP(RiskStatements[[#This Row],[Vulnerability Rating]],VEMatrix[Vulnerability],_xlfn.XLOOKUP(RiskStatements[[#This Row],[Exposure Rating - 2100]],VEMatrix[#Headers],VEMatrix[]))</f>
        <v>Extreme</v>
      </c>
      <c r="P156" s="22">
        <f>_xlfn.XLOOKUP(RiskStatements[[#This Row],[Risk Rating - Present]],RatingOrder[Rating Order],RatingOrder[Rating Score],0,0)</f>
        <v>4</v>
      </c>
      <c r="Q156" s="22">
        <f>_xlfn.XLOOKUP(RiskStatements[[#This Row],[Risk Rating - 2050]],RatingOrder[Rating Order],RatingOrder[Rating Score],0,0)</f>
        <v>4</v>
      </c>
      <c r="R156" s="22">
        <f>_xlfn.XLOOKUP(RiskStatements[[#This Row],[Risk Rating - 2100]],RatingOrder[Rating Order],RatingOrder[Rating Score],0,0)</f>
        <v>4</v>
      </c>
      <c r="S156"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57" spans="1:19" hidden="1" x14ac:dyDescent="0.35">
      <c r="A157" s="22" t="s">
        <v>46</v>
      </c>
      <c r="B157" s="22" t="s">
        <v>79</v>
      </c>
      <c r="C157" s="22" t="s">
        <v>135</v>
      </c>
      <c r="D157" s="22" t="str">
        <f>"V - " &amp;RiskStatements[[#This Row],[Climate Variables/Explainers]]</f>
        <v>V - Tropical Cyclone</v>
      </c>
      <c r="E157" s="22" t="str">
        <f>"EP - " &amp;RiskStatements[[#This Row],[Climate Variables/Explainers]]</f>
        <v>EP - Tropical Cyclone</v>
      </c>
      <c r="F157" s="22" t="str">
        <f>"E2050 - " &amp;RiskStatements[[#This Row],[Climate Variables/Explainers]]</f>
        <v>E2050 - Tropical Cyclone</v>
      </c>
      <c r="G157" s="22" t="str">
        <f>"E2100 - " &amp;RiskStatements[[#This Row],[Climate Variables/Explainers]]</f>
        <v>E2100 - Tropical Cyclone</v>
      </c>
      <c r="H157" s="22" t="str" cm="1">
        <f t="array" ref="H157">_xlfn.XLOOKUP(RiskStatements[[#This Row],[Elements at Risk]],Final_VEValues[Elements at Risk],_xlfn.XLOOKUP(RiskStatements[[#This Row],[Vulnerability Header]],Final_VEValues[#Headers],Final_VEValues[]))</f>
        <v>E</v>
      </c>
      <c r="I157" s="22" t="str" cm="1">
        <f t="array" ref="I157">_xlfn.XLOOKUP(RiskStatements[[#This Row],[Elements at Risk]],Final_VEValues[Elements at Risk],_xlfn.XLOOKUP(RiskStatements[[#This Row],[Exposure Present Header]],Final_VEValues[#Headers],Final_VEValues[]))</f>
        <v>H</v>
      </c>
      <c r="J157" s="22" t="str" cm="1">
        <f t="array" ref="J157">_xlfn.XLOOKUP(RiskStatements[[#This Row],[Elements at Risk]],Final_VEValues[Elements at Risk],_xlfn.XLOOKUP(RiskStatements[[#This Row],[Exposure 2050 Header]],Final_VEValues[#Headers],Final_VEValues[]))</f>
        <v>E</v>
      </c>
      <c r="K157" s="22" t="str" cm="1">
        <f t="array" ref="K157">_xlfn.XLOOKUP(RiskStatements[[#This Row],[Elements at Risk]],Final_VEValues[Elements at Risk],_xlfn.XLOOKUP(RiskStatements[[#This Row],[Exposure 2100 Header]],Final_VEValues[#Headers],Final_VEValues[]))</f>
        <v>E</v>
      </c>
      <c r="L157" s="22" t="str">
        <f>_xlfn.CONCAT(RiskStatements[[#This Row],[Climate Variables/Explainers]]," risk to ",RiskStatements[[#This Row],[Elements at Risk]])</f>
        <v>Tropical Cyclone risk to Outdoor Coastal Activities</v>
      </c>
      <c r="M157" s="22" t="str" cm="1">
        <f t="array" ref="M157">_xlfn.XLOOKUP(RiskStatements[[#This Row],[Vulnerability Rating]],VEMatrix[Vulnerability],_xlfn.XLOOKUP(RiskStatements[[#This Row],[Exposure Rating - Present]],VEMatrix[#Headers],VEMatrix[]))</f>
        <v>Extreme</v>
      </c>
      <c r="N157" s="22" t="str" cm="1">
        <f t="array" ref="N157">_xlfn.XLOOKUP(RiskStatements[[#This Row],[Vulnerability Rating]],VEMatrix[Vulnerability],_xlfn.XLOOKUP(RiskStatements[[#This Row],[Exposure Rating - 2050]],VEMatrix[#Headers],VEMatrix[]))</f>
        <v>Extreme</v>
      </c>
      <c r="O157" s="22" t="str" cm="1">
        <f t="array" ref="O157">_xlfn.XLOOKUP(RiskStatements[[#This Row],[Vulnerability Rating]],VEMatrix[Vulnerability],_xlfn.XLOOKUP(RiskStatements[[#This Row],[Exposure Rating - 2100]],VEMatrix[#Headers],VEMatrix[]))</f>
        <v>Extreme</v>
      </c>
      <c r="P157" s="22">
        <f>_xlfn.XLOOKUP(RiskStatements[[#This Row],[Risk Rating - Present]],RatingOrder[Rating Order],RatingOrder[Rating Score],0,0)</f>
        <v>4</v>
      </c>
      <c r="Q157" s="22">
        <f>_xlfn.XLOOKUP(RiskStatements[[#This Row],[Risk Rating - 2050]],RatingOrder[Rating Order],RatingOrder[Rating Score],0,0)</f>
        <v>4</v>
      </c>
      <c r="R157" s="22">
        <f>_xlfn.XLOOKUP(RiskStatements[[#This Row],[Risk Rating - 2100]],RatingOrder[Rating Order],RatingOrder[Rating Score],0,0)</f>
        <v>4</v>
      </c>
      <c r="S157"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58" spans="1:19" hidden="1" x14ac:dyDescent="0.35">
      <c r="A158" s="22" t="s">
        <v>46</v>
      </c>
      <c r="B158" s="175" t="s">
        <v>443</v>
      </c>
      <c r="C158" s="22" t="s">
        <v>135</v>
      </c>
      <c r="D158" s="22" t="str">
        <f>"V - " &amp;RiskStatements[[#This Row],[Climate Variables/Explainers]]</f>
        <v>V - Tropical Cyclone</v>
      </c>
      <c r="E158" s="22" t="str">
        <f>"EP - " &amp;RiskStatements[[#This Row],[Climate Variables/Explainers]]</f>
        <v>EP - Tropical Cyclone</v>
      </c>
      <c r="F158" s="22" t="str">
        <f>"E2050 - " &amp;RiskStatements[[#This Row],[Climate Variables/Explainers]]</f>
        <v>E2050 - Tropical Cyclone</v>
      </c>
      <c r="G158" s="22" t="str">
        <f>"E2100 - " &amp;RiskStatements[[#This Row],[Climate Variables/Explainers]]</f>
        <v>E2100 - Tropical Cyclone</v>
      </c>
      <c r="H158" s="22" t="str" cm="1">
        <f t="array" ref="H158">_xlfn.XLOOKUP(RiskStatements[[#This Row],[Elements at Risk]],Final_VEValues[Elements at Risk],_xlfn.XLOOKUP(RiskStatements[[#This Row],[Vulnerability Header]],Final_VEValues[#Headers],Final_VEValues[]))</f>
        <v>E</v>
      </c>
      <c r="I158" s="22" t="str" cm="1">
        <f t="array" ref="I158">_xlfn.XLOOKUP(RiskStatements[[#This Row],[Elements at Risk]],Final_VEValues[Elements at Risk],_xlfn.XLOOKUP(RiskStatements[[#This Row],[Exposure Present Header]],Final_VEValues[#Headers],Final_VEValues[]))</f>
        <v>H</v>
      </c>
      <c r="J158" s="22" t="str" cm="1">
        <f t="array" ref="J158">_xlfn.XLOOKUP(RiskStatements[[#This Row],[Elements at Risk]],Final_VEValues[Elements at Risk],_xlfn.XLOOKUP(RiskStatements[[#This Row],[Exposure 2050 Header]],Final_VEValues[#Headers],Final_VEValues[]))</f>
        <v>E</v>
      </c>
      <c r="K158" s="22" t="str" cm="1">
        <f t="array" ref="K158">_xlfn.XLOOKUP(RiskStatements[[#This Row],[Elements at Risk]],Final_VEValues[Elements at Risk],_xlfn.XLOOKUP(RiskStatements[[#This Row],[Exposure 2100 Header]],Final_VEValues[#Headers],Final_VEValues[]))</f>
        <v>E</v>
      </c>
      <c r="L158" s="22" t="str">
        <f>_xlfn.CONCAT(RiskStatements[[#This Row],[Climate Variables/Explainers]]," risk to ",RiskStatements[[#This Row],[Elements at Risk]])</f>
        <v>Tropical Cyclone risk to Land Transportation Activities</v>
      </c>
      <c r="M158" s="22" t="str" cm="1">
        <f t="array" ref="M158">_xlfn.XLOOKUP(RiskStatements[[#This Row],[Vulnerability Rating]],VEMatrix[Vulnerability],_xlfn.XLOOKUP(RiskStatements[[#This Row],[Exposure Rating - Present]],VEMatrix[#Headers],VEMatrix[]))</f>
        <v>Extreme</v>
      </c>
      <c r="N158" s="22" t="str" cm="1">
        <f t="array" ref="N158">_xlfn.XLOOKUP(RiskStatements[[#This Row],[Vulnerability Rating]],VEMatrix[Vulnerability],_xlfn.XLOOKUP(RiskStatements[[#This Row],[Exposure Rating - 2050]],VEMatrix[#Headers],VEMatrix[]))</f>
        <v>Extreme</v>
      </c>
      <c r="O158" s="22" t="str" cm="1">
        <f t="array" ref="O158">_xlfn.XLOOKUP(RiskStatements[[#This Row],[Vulnerability Rating]],VEMatrix[Vulnerability],_xlfn.XLOOKUP(RiskStatements[[#This Row],[Exposure Rating - 2100]],VEMatrix[#Headers],VEMatrix[]))</f>
        <v>Extreme</v>
      </c>
      <c r="P158" s="22">
        <f>_xlfn.XLOOKUP(RiskStatements[[#This Row],[Risk Rating - Present]],RatingOrder[Rating Order],RatingOrder[Rating Score],0,0)</f>
        <v>4</v>
      </c>
      <c r="Q158" s="22">
        <f>_xlfn.XLOOKUP(RiskStatements[[#This Row],[Risk Rating - 2050]],RatingOrder[Rating Order],RatingOrder[Rating Score],0,0)</f>
        <v>4</v>
      </c>
      <c r="R158" s="22">
        <f>_xlfn.XLOOKUP(RiskStatements[[#This Row],[Risk Rating - 2100]],RatingOrder[Rating Order],RatingOrder[Rating Score],0,0)</f>
        <v>4</v>
      </c>
      <c r="S158"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59" spans="1:19" hidden="1" x14ac:dyDescent="0.35">
      <c r="A159" s="22" t="s">
        <v>46</v>
      </c>
      <c r="B159" s="22" t="s">
        <v>222</v>
      </c>
      <c r="C159" s="22" t="s">
        <v>135</v>
      </c>
      <c r="D159" s="22" t="str">
        <f>"V - " &amp;RiskStatements[[#This Row],[Climate Variables/Explainers]]</f>
        <v>V - Tropical Cyclone</v>
      </c>
      <c r="E159" s="22" t="str">
        <f>"EP - " &amp;RiskStatements[[#This Row],[Climate Variables/Explainers]]</f>
        <v>EP - Tropical Cyclone</v>
      </c>
      <c r="F159" s="22" t="str">
        <f>"E2050 - " &amp;RiskStatements[[#This Row],[Climate Variables/Explainers]]</f>
        <v>E2050 - Tropical Cyclone</v>
      </c>
      <c r="G159" s="22" t="str">
        <f>"E2100 - " &amp;RiskStatements[[#This Row],[Climate Variables/Explainers]]</f>
        <v>E2100 - Tropical Cyclone</v>
      </c>
      <c r="H159" s="22" t="str" cm="1">
        <f t="array" ref="H159">_xlfn.XLOOKUP(RiskStatements[[#This Row],[Elements at Risk]],Final_VEValues[Elements at Risk],_xlfn.XLOOKUP(RiskStatements[[#This Row],[Vulnerability Header]],Final_VEValues[#Headers],Final_VEValues[]))</f>
        <v>E</v>
      </c>
      <c r="I159" s="22" t="str" cm="1">
        <f t="array" ref="I159">_xlfn.XLOOKUP(RiskStatements[[#This Row],[Elements at Risk]],Final_VEValues[Elements at Risk],_xlfn.XLOOKUP(RiskStatements[[#This Row],[Exposure Present Header]],Final_VEValues[#Headers],Final_VEValues[]))</f>
        <v>H</v>
      </c>
      <c r="J159" s="22" t="str" cm="1">
        <f t="array" ref="J159">_xlfn.XLOOKUP(RiskStatements[[#This Row],[Elements at Risk]],Final_VEValues[Elements at Risk],_xlfn.XLOOKUP(RiskStatements[[#This Row],[Exposure 2050 Header]],Final_VEValues[#Headers],Final_VEValues[]))</f>
        <v>E</v>
      </c>
      <c r="K159" s="22" t="str" cm="1">
        <f t="array" ref="K159">_xlfn.XLOOKUP(RiskStatements[[#This Row],[Elements at Risk]],Final_VEValues[Elements at Risk],_xlfn.XLOOKUP(RiskStatements[[#This Row],[Exposure 2100 Header]],Final_VEValues[#Headers],Final_VEValues[]))</f>
        <v>E</v>
      </c>
      <c r="L159" s="22" t="str">
        <f>_xlfn.CONCAT(RiskStatements[[#This Row],[Climate Variables/Explainers]]," risk to ",RiskStatements[[#This Row],[Elements at Risk]])</f>
        <v>Tropical Cyclone risk to Water Transportation Activities</v>
      </c>
      <c r="M159" s="22" t="str" cm="1">
        <f t="array" ref="M159">_xlfn.XLOOKUP(RiskStatements[[#This Row],[Vulnerability Rating]],VEMatrix[Vulnerability],_xlfn.XLOOKUP(RiskStatements[[#This Row],[Exposure Rating - Present]],VEMatrix[#Headers],VEMatrix[]))</f>
        <v>Extreme</v>
      </c>
      <c r="N159" s="22" t="str" cm="1">
        <f t="array" ref="N159">_xlfn.XLOOKUP(RiskStatements[[#This Row],[Vulnerability Rating]],VEMatrix[Vulnerability],_xlfn.XLOOKUP(RiskStatements[[#This Row],[Exposure Rating - 2050]],VEMatrix[#Headers],VEMatrix[]))</f>
        <v>Extreme</v>
      </c>
      <c r="O159" s="22" t="str" cm="1">
        <f t="array" ref="O159">_xlfn.XLOOKUP(RiskStatements[[#This Row],[Vulnerability Rating]],VEMatrix[Vulnerability],_xlfn.XLOOKUP(RiskStatements[[#This Row],[Exposure Rating - 2100]],VEMatrix[#Headers],VEMatrix[]))</f>
        <v>Extreme</v>
      </c>
      <c r="P159" s="22">
        <f>_xlfn.XLOOKUP(RiskStatements[[#This Row],[Risk Rating - Present]],RatingOrder[Rating Order],RatingOrder[Rating Score],0,0)</f>
        <v>4</v>
      </c>
      <c r="Q159" s="22">
        <f>_xlfn.XLOOKUP(RiskStatements[[#This Row],[Risk Rating - 2050]],RatingOrder[Rating Order],RatingOrder[Rating Score],0,0)</f>
        <v>4</v>
      </c>
      <c r="R159" s="22">
        <f>_xlfn.XLOOKUP(RiskStatements[[#This Row],[Risk Rating - 2100]],RatingOrder[Rating Order],RatingOrder[Rating Score],0,0)</f>
        <v>4</v>
      </c>
      <c r="S159"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60" spans="1:19" hidden="1" x14ac:dyDescent="0.35">
      <c r="A160" s="22" t="s">
        <v>46</v>
      </c>
      <c r="B160" s="22" t="s">
        <v>221</v>
      </c>
      <c r="C160" s="22" t="s">
        <v>135</v>
      </c>
      <c r="D160" s="22" t="str">
        <f>"V - " &amp;RiskStatements[[#This Row],[Climate Variables/Explainers]]</f>
        <v>V - Tropical Cyclone</v>
      </c>
      <c r="E160" s="22" t="str">
        <f>"EP - " &amp;RiskStatements[[#This Row],[Climate Variables/Explainers]]</f>
        <v>EP - Tropical Cyclone</v>
      </c>
      <c r="F160" s="22" t="str">
        <f>"E2050 - " &amp;RiskStatements[[#This Row],[Climate Variables/Explainers]]</f>
        <v>E2050 - Tropical Cyclone</v>
      </c>
      <c r="G160" s="22" t="str">
        <f>"E2100 - " &amp;RiskStatements[[#This Row],[Climate Variables/Explainers]]</f>
        <v>E2100 - Tropical Cyclone</v>
      </c>
      <c r="H160" s="22" t="str" cm="1">
        <f t="array" ref="H160">_xlfn.XLOOKUP(RiskStatements[[#This Row],[Elements at Risk]],Final_VEValues[Elements at Risk],_xlfn.XLOOKUP(RiskStatements[[#This Row],[Vulnerability Header]],Final_VEValues[#Headers],Final_VEValues[]))</f>
        <v>H</v>
      </c>
      <c r="I160" s="22" t="str" cm="1">
        <f t="array" ref="I160">_xlfn.XLOOKUP(RiskStatements[[#This Row],[Elements at Risk]],Final_VEValues[Elements at Risk],_xlfn.XLOOKUP(RiskStatements[[#This Row],[Exposure Present Header]],Final_VEValues[#Headers],Final_VEValues[]))</f>
        <v>M</v>
      </c>
      <c r="J160" s="22" t="str" cm="1">
        <f t="array" ref="J160">_xlfn.XLOOKUP(RiskStatements[[#This Row],[Elements at Risk]],Final_VEValues[Elements at Risk],_xlfn.XLOOKUP(RiskStatements[[#This Row],[Exposure 2050 Header]],Final_VEValues[#Headers],Final_VEValues[]))</f>
        <v>H</v>
      </c>
      <c r="K160" s="22" t="str" cm="1">
        <f t="array" ref="K160">_xlfn.XLOOKUP(RiskStatements[[#This Row],[Elements at Risk]],Final_VEValues[Elements at Risk],_xlfn.XLOOKUP(RiskStatements[[#This Row],[Exposure 2100 Header]],Final_VEValues[#Headers],Final_VEValues[]))</f>
        <v>E</v>
      </c>
      <c r="L160" s="22" t="str">
        <f>_xlfn.CONCAT(RiskStatements[[#This Row],[Climate Variables/Explainers]]," risk to ",RiskStatements[[#This Row],[Elements at Risk]])</f>
        <v>Tropical Cyclone risk to Office / Shop / Admin Activities</v>
      </c>
      <c r="M160" s="22" t="str" cm="1">
        <f t="array" ref="M160">_xlfn.XLOOKUP(RiskStatements[[#This Row],[Vulnerability Rating]],VEMatrix[Vulnerability],_xlfn.XLOOKUP(RiskStatements[[#This Row],[Exposure Rating - Present]],VEMatrix[#Headers],VEMatrix[]))</f>
        <v>Moderate</v>
      </c>
      <c r="N160" s="22" t="str" cm="1">
        <f t="array" ref="N160">_xlfn.XLOOKUP(RiskStatements[[#This Row],[Vulnerability Rating]],VEMatrix[Vulnerability],_xlfn.XLOOKUP(RiskStatements[[#This Row],[Exposure Rating - 2050]],VEMatrix[#Headers],VEMatrix[]))</f>
        <v>High</v>
      </c>
      <c r="O160" s="22" t="str" cm="1">
        <f t="array" ref="O160">_xlfn.XLOOKUP(RiskStatements[[#This Row],[Vulnerability Rating]],VEMatrix[Vulnerability],_xlfn.XLOOKUP(RiskStatements[[#This Row],[Exposure Rating - 2100]],VEMatrix[#Headers],VEMatrix[]))</f>
        <v>Extreme</v>
      </c>
      <c r="P160" s="22">
        <f>_xlfn.XLOOKUP(RiskStatements[[#This Row],[Risk Rating - Present]],RatingOrder[Rating Order],RatingOrder[Rating Score],0,0)</f>
        <v>2</v>
      </c>
      <c r="Q160" s="22">
        <f>_xlfn.XLOOKUP(RiskStatements[[#This Row],[Risk Rating - 2050]],RatingOrder[Rating Order],RatingOrder[Rating Score],0,0)</f>
        <v>3</v>
      </c>
      <c r="R160" s="22">
        <f>_xlfn.XLOOKUP(RiskStatements[[#This Row],[Risk Rating - 2100]],RatingOrder[Rating Order],RatingOrder[Rating Score],0,0)</f>
        <v>4</v>
      </c>
      <c r="S160"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61" spans="1:19" hidden="1" x14ac:dyDescent="0.35">
      <c r="A161" s="22" t="s">
        <v>46</v>
      </c>
      <c r="B161" s="22" t="s">
        <v>219</v>
      </c>
      <c r="C161" s="22" t="s">
        <v>135</v>
      </c>
      <c r="D161" s="22" t="str">
        <f>"V - " &amp;RiskStatements[[#This Row],[Climate Variables/Explainers]]</f>
        <v>V - Tropical Cyclone</v>
      </c>
      <c r="E161" s="22" t="str">
        <f>"EP - " &amp;RiskStatements[[#This Row],[Climate Variables/Explainers]]</f>
        <v>EP - Tropical Cyclone</v>
      </c>
      <c r="F161" s="22" t="str">
        <f>"E2050 - " &amp;RiskStatements[[#This Row],[Climate Variables/Explainers]]</f>
        <v>E2050 - Tropical Cyclone</v>
      </c>
      <c r="G161" s="22" t="str">
        <f>"E2100 - " &amp;RiskStatements[[#This Row],[Climate Variables/Explainers]]</f>
        <v>E2100 - Tropical Cyclone</v>
      </c>
      <c r="H161" s="22" t="str" cm="1">
        <f t="array" ref="H161">_xlfn.XLOOKUP(RiskStatements[[#This Row],[Elements at Risk]],Final_VEValues[Elements at Risk],_xlfn.XLOOKUP(RiskStatements[[#This Row],[Vulnerability Header]],Final_VEValues[#Headers],Final_VEValues[]))</f>
        <v>H</v>
      </c>
      <c r="I161" s="22" t="str" cm="1">
        <f t="array" ref="I161">_xlfn.XLOOKUP(RiskStatements[[#This Row],[Elements at Risk]],Final_VEValues[Elements at Risk],_xlfn.XLOOKUP(RiskStatements[[#This Row],[Exposure Present Header]],Final_VEValues[#Headers],Final_VEValues[]))</f>
        <v>M</v>
      </c>
      <c r="J161" s="22" t="str" cm="1">
        <f t="array" ref="J161">_xlfn.XLOOKUP(RiskStatements[[#This Row],[Elements at Risk]],Final_VEValues[Elements at Risk],_xlfn.XLOOKUP(RiskStatements[[#This Row],[Exposure 2050 Header]],Final_VEValues[#Headers],Final_VEValues[]))</f>
        <v>H</v>
      </c>
      <c r="K161" s="22" t="str" cm="1">
        <f t="array" ref="K161">_xlfn.XLOOKUP(RiskStatements[[#This Row],[Elements at Risk]],Final_VEValues[Elements at Risk],_xlfn.XLOOKUP(RiskStatements[[#This Row],[Exposure 2100 Header]],Final_VEValues[#Headers],Final_VEValues[]))</f>
        <v>E</v>
      </c>
      <c r="L161" s="22" t="str">
        <f>_xlfn.CONCAT(RiskStatements[[#This Row],[Climate Variables/Explainers]]," risk to ",RiskStatements[[#This Row],[Elements at Risk]])</f>
        <v>Tropical Cyclone risk to Goods Supply Activities</v>
      </c>
      <c r="M161" s="22" t="str" cm="1">
        <f t="array" ref="M161">_xlfn.XLOOKUP(RiskStatements[[#This Row],[Vulnerability Rating]],VEMatrix[Vulnerability],_xlfn.XLOOKUP(RiskStatements[[#This Row],[Exposure Rating - Present]],VEMatrix[#Headers],VEMatrix[]))</f>
        <v>Moderate</v>
      </c>
      <c r="N161" s="22" t="str" cm="1">
        <f t="array" ref="N161">_xlfn.XLOOKUP(RiskStatements[[#This Row],[Vulnerability Rating]],VEMatrix[Vulnerability],_xlfn.XLOOKUP(RiskStatements[[#This Row],[Exposure Rating - 2050]],VEMatrix[#Headers],VEMatrix[]))</f>
        <v>High</v>
      </c>
      <c r="O161" s="22" t="str" cm="1">
        <f t="array" ref="O161">_xlfn.XLOOKUP(RiskStatements[[#This Row],[Vulnerability Rating]],VEMatrix[Vulnerability],_xlfn.XLOOKUP(RiskStatements[[#This Row],[Exposure Rating - 2100]],VEMatrix[#Headers],VEMatrix[]))</f>
        <v>Extreme</v>
      </c>
      <c r="P161" s="22">
        <f>_xlfn.XLOOKUP(RiskStatements[[#This Row],[Risk Rating - Present]],RatingOrder[Rating Order],RatingOrder[Rating Score],0,0)</f>
        <v>2</v>
      </c>
      <c r="Q161" s="22">
        <f>_xlfn.XLOOKUP(RiskStatements[[#This Row],[Risk Rating - 2050]],RatingOrder[Rating Order],RatingOrder[Rating Score],0,0)</f>
        <v>3</v>
      </c>
      <c r="R161" s="22">
        <f>_xlfn.XLOOKUP(RiskStatements[[#This Row],[Risk Rating - 2100]],RatingOrder[Rating Order],RatingOrder[Rating Score],0,0)</f>
        <v>4</v>
      </c>
      <c r="S161"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row r="162" spans="1:19" hidden="1" x14ac:dyDescent="0.35">
      <c r="A162" s="22" t="s">
        <v>46</v>
      </c>
      <c r="B162" s="22" t="s">
        <v>217</v>
      </c>
      <c r="C162" s="22" t="s">
        <v>135</v>
      </c>
      <c r="D162" s="22" t="str">
        <f>"V - " &amp;RiskStatements[[#This Row],[Climate Variables/Explainers]]</f>
        <v>V - Tropical Cyclone</v>
      </c>
      <c r="E162" s="22" t="str">
        <f>"EP - " &amp;RiskStatements[[#This Row],[Climate Variables/Explainers]]</f>
        <v>EP - Tropical Cyclone</v>
      </c>
      <c r="F162" s="22" t="str">
        <f>"E2050 - " &amp;RiskStatements[[#This Row],[Climate Variables/Explainers]]</f>
        <v>E2050 - Tropical Cyclone</v>
      </c>
      <c r="G162" s="22" t="str">
        <f>"E2100 - " &amp;RiskStatements[[#This Row],[Climate Variables/Explainers]]</f>
        <v>E2100 - Tropical Cyclone</v>
      </c>
      <c r="H162" s="22" t="str" cm="1">
        <f t="array" ref="H162">_xlfn.XLOOKUP(RiskStatements[[#This Row],[Elements at Risk]],Final_VEValues[Elements at Risk],_xlfn.XLOOKUP(RiskStatements[[#This Row],[Vulnerability Header]],Final_VEValues[#Headers],Final_VEValues[]))</f>
        <v>H</v>
      </c>
      <c r="I162" s="22" t="str" cm="1">
        <f t="array" ref="I162">_xlfn.XLOOKUP(RiskStatements[[#This Row],[Elements at Risk]],Final_VEValues[Elements at Risk],_xlfn.XLOOKUP(RiskStatements[[#This Row],[Exposure Present Header]],Final_VEValues[#Headers],Final_VEValues[]))</f>
        <v>M</v>
      </c>
      <c r="J162" s="22" t="str" cm="1">
        <f t="array" ref="J162">_xlfn.XLOOKUP(RiskStatements[[#This Row],[Elements at Risk]],Final_VEValues[Elements at Risk],_xlfn.XLOOKUP(RiskStatements[[#This Row],[Exposure 2050 Header]],Final_VEValues[#Headers],Final_VEValues[]))</f>
        <v>H</v>
      </c>
      <c r="K162" s="22" t="str" cm="1">
        <f t="array" ref="K162">_xlfn.XLOOKUP(RiskStatements[[#This Row],[Elements at Risk]],Final_VEValues[Elements at Risk],_xlfn.XLOOKUP(RiskStatements[[#This Row],[Exposure 2100 Header]],Final_VEValues[#Headers],Final_VEValues[]))</f>
        <v>E</v>
      </c>
      <c r="L162" s="22" t="str">
        <f>_xlfn.CONCAT(RiskStatements[[#This Row],[Climate Variables/Explainers]]," risk to ",RiskStatements[[#This Row],[Elements at Risk]])</f>
        <v>Tropical Cyclone risk to Construction Activities</v>
      </c>
      <c r="M162" s="22" t="str" cm="1">
        <f t="array" ref="M162">_xlfn.XLOOKUP(RiskStatements[[#This Row],[Vulnerability Rating]],VEMatrix[Vulnerability],_xlfn.XLOOKUP(RiskStatements[[#This Row],[Exposure Rating - Present]],VEMatrix[#Headers],VEMatrix[]))</f>
        <v>Moderate</v>
      </c>
      <c r="N162" s="22" t="str" cm="1">
        <f t="array" ref="N162">_xlfn.XLOOKUP(RiskStatements[[#This Row],[Vulnerability Rating]],VEMatrix[Vulnerability],_xlfn.XLOOKUP(RiskStatements[[#This Row],[Exposure Rating - 2050]],VEMatrix[#Headers],VEMatrix[]))</f>
        <v>High</v>
      </c>
      <c r="O162" s="22" t="str" cm="1">
        <f t="array" ref="O162">_xlfn.XLOOKUP(RiskStatements[[#This Row],[Vulnerability Rating]],VEMatrix[Vulnerability],_xlfn.XLOOKUP(RiskStatements[[#This Row],[Exposure Rating - 2100]],VEMatrix[#Headers],VEMatrix[]))</f>
        <v>Extreme</v>
      </c>
      <c r="P162" s="22">
        <f>_xlfn.XLOOKUP(RiskStatements[[#This Row],[Risk Rating - Present]],RatingOrder[Rating Order],RatingOrder[Rating Score],0,0)</f>
        <v>2</v>
      </c>
      <c r="Q162" s="22">
        <f>_xlfn.XLOOKUP(RiskStatements[[#This Row],[Risk Rating - 2050]],RatingOrder[Rating Order],RatingOrder[Rating Score],0,0)</f>
        <v>3</v>
      </c>
      <c r="R162" s="22">
        <f>_xlfn.XLOOKUP(RiskStatements[[#This Row],[Risk Rating - 2100]],RatingOrder[Rating Order],RatingOrder[Rating Score],0,0)</f>
        <v>4</v>
      </c>
      <c r="S162" s="22">
        <f>_xlfn.XLOOKUP(RiskStatements[[#This Row],[Elements at Risk]],'Backroom - question output calc'!$B$4:$B$26,'Backroom - question output calc'!$E$4:$E$26,0,0)*_xlfn.XLOOKUP(RiskStatements[[#This Row],[Climate Variables/Explainers]],'Backroom - question output calc'!$B$30:$B$36,'Backroom - question output calc'!$C$30:$C$36,0,0)*AND(RiskStatements[[#This Row],[Risk Rating - Present]]&lt;&gt;"N/A",RiskStatements[[#This Row],[Risk Rating - 2050]]&lt;&gt;"N/A",RiskStatements[[#This Row],[Risk Rating - 2100]]&lt;&gt;"N/A")</f>
        <v>0</v>
      </c>
    </row>
  </sheetData>
  <phoneticPr fontId="11" type="noConversion"/>
  <pageMargins left="0.7" right="0.7" top="0.75" bottom="0.75" header="0.3" footer="0.3"/>
  <pageSetup paperSize="256"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8F58B-8A85-4AE7-9845-0250AE1393F6}">
  <sheetPr codeName="Sheet14"/>
  <dimension ref="A1:O21"/>
  <sheetViews>
    <sheetView workbookViewId="0"/>
  </sheetViews>
  <sheetFormatPr defaultColWidth="9" defaultRowHeight="17.5" x14ac:dyDescent="0.35"/>
  <cols>
    <col min="1" max="1" width="15.375" style="49" customWidth="1"/>
    <col min="2" max="6" width="14.6875" style="49" customWidth="1"/>
    <col min="7" max="10" width="14.6875" style="179" customWidth="1"/>
    <col min="11" max="12" width="9" style="49"/>
    <col min="13" max="13" width="16.9375" style="49" bestFit="1" customWidth="1"/>
    <col min="14" max="15" width="61.4375" style="49" customWidth="1"/>
    <col min="16" max="16384" width="9" style="49"/>
  </cols>
  <sheetData>
    <row r="1" spans="1:15" ht="21.5" thickBot="1" x14ac:dyDescent="0.4">
      <c r="A1" s="297" t="s">
        <v>437</v>
      </c>
      <c r="B1" s="576" t="s">
        <v>153</v>
      </c>
      <c r="C1" s="577"/>
      <c r="D1" s="577"/>
      <c r="E1" s="577"/>
      <c r="F1" s="577"/>
      <c r="G1" s="176"/>
      <c r="H1" s="176"/>
      <c r="I1" s="176"/>
      <c r="J1" s="176"/>
      <c r="M1" s="310" t="s">
        <v>154</v>
      </c>
      <c r="N1" s="578"/>
      <c r="O1" s="578"/>
    </row>
    <row r="2" spans="1:15" ht="18" thickBot="1" x14ac:dyDescent="0.4">
      <c r="A2" s="298" t="s">
        <v>155</v>
      </c>
      <c r="B2" s="133" t="s">
        <v>118</v>
      </c>
      <c r="C2" s="64" t="s">
        <v>115</v>
      </c>
      <c r="D2" s="65" t="s">
        <v>116</v>
      </c>
      <c r="E2" s="66" t="s">
        <v>114</v>
      </c>
      <c r="F2" s="135" t="s">
        <v>113</v>
      </c>
      <c r="G2" s="177"/>
      <c r="H2" s="177"/>
      <c r="I2" s="177"/>
      <c r="J2" s="177"/>
      <c r="M2" s="311" t="s">
        <v>166</v>
      </c>
      <c r="N2" s="575"/>
      <c r="O2" s="575"/>
    </row>
    <row r="3" spans="1:15" ht="18" thickBot="1" x14ac:dyDescent="0.4">
      <c r="A3" s="136" t="s">
        <v>113</v>
      </c>
      <c r="B3" s="132" t="s">
        <v>118</v>
      </c>
      <c r="C3" s="67" t="s">
        <v>159</v>
      </c>
      <c r="D3" s="68" t="s">
        <v>157</v>
      </c>
      <c r="E3" s="137" t="s">
        <v>166</v>
      </c>
      <c r="F3" s="138" t="s">
        <v>166</v>
      </c>
      <c r="G3" s="177"/>
      <c r="H3" s="177"/>
      <c r="I3" s="177"/>
      <c r="J3" s="177"/>
      <c r="M3" s="312" t="s">
        <v>157</v>
      </c>
      <c r="N3" s="575"/>
      <c r="O3" s="575"/>
    </row>
    <row r="4" spans="1:15" ht="18" thickBot="1" x14ac:dyDescent="0.4">
      <c r="A4" s="69" t="s">
        <v>114</v>
      </c>
      <c r="B4" s="132" t="s">
        <v>118</v>
      </c>
      <c r="C4" s="70" t="s">
        <v>161</v>
      </c>
      <c r="D4" s="67" t="s">
        <v>159</v>
      </c>
      <c r="E4" s="68" t="s">
        <v>157</v>
      </c>
      <c r="F4" s="138" t="s">
        <v>166</v>
      </c>
      <c r="G4" s="177"/>
      <c r="H4" s="177"/>
      <c r="I4" s="177"/>
      <c r="J4" s="177"/>
      <c r="M4" s="313" t="s">
        <v>159</v>
      </c>
      <c r="N4" s="575"/>
      <c r="O4" s="575"/>
    </row>
    <row r="5" spans="1:15" ht="18" thickBot="1" x14ac:dyDescent="0.4">
      <c r="A5" s="71" t="s">
        <v>116</v>
      </c>
      <c r="B5" s="132" t="s">
        <v>118</v>
      </c>
      <c r="C5" s="70" t="s">
        <v>161</v>
      </c>
      <c r="D5" s="67" t="s">
        <v>159</v>
      </c>
      <c r="E5" s="67" t="s">
        <v>159</v>
      </c>
      <c r="F5" s="72" t="s">
        <v>157</v>
      </c>
      <c r="G5" s="177"/>
      <c r="H5" s="177"/>
      <c r="I5" s="177"/>
      <c r="J5" s="177"/>
      <c r="M5" s="314" t="s">
        <v>161</v>
      </c>
      <c r="N5" s="575"/>
      <c r="O5" s="575"/>
    </row>
    <row r="6" spans="1:15" ht="18" thickBot="1" x14ac:dyDescent="0.4">
      <c r="A6" s="106" t="s">
        <v>115</v>
      </c>
      <c r="B6" s="132" t="s">
        <v>118</v>
      </c>
      <c r="C6" s="70" t="s">
        <v>161</v>
      </c>
      <c r="D6" s="70" t="s">
        <v>161</v>
      </c>
      <c r="E6" s="67" t="s">
        <v>159</v>
      </c>
      <c r="F6" s="72" t="s">
        <v>157</v>
      </c>
      <c r="G6" s="177"/>
      <c r="H6" s="177"/>
      <c r="I6" s="177"/>
      <c r="J6" s="177"/>
    </row>
    <row r="7" spans="1:15" ht="18" thickBot="1" x14ac:dyDescent="0.4">
      <c r="A7" s="98" t="s">
        <v>118</v>
      </c>
      <c r="B7" s="132" t="s">
        <v>118</v>
      </c>
      <c r="C7" s="132" t="s">
        <v>118</v>
      </c>
      <c r="D7" s="132" t="s">
        <v>118</v>
      </c>
      <c r="E7" s="132" t="s">
        <v>118</v>
      </c>
      <c r="F7" s="132" t="s">
        <v>118</v>
      </c>
      <c r="G7" s="178"/>
      <c r="H7" s="178"/>
      <c r="I7" s="178"/>
      <c r="J7" s="178"/>
      <c r="M7" s="126" t="s">
        <v>163</v>
      </c>
      <c r="N7" s="319"/>
      <c r="O7" s="319"/>
    </row>
    <row r="8" spans="1:15" ht="18" thickBot="1" x14ac:dyDescent="0.4">
      <c r="M8" s="315" t="s">
        <v>166</v>
      </c>
      <c r="N8" s="320"/>
      <c r="O8" s="320"/>
    </row>
    <row r="9" spans="1:15" ht="18" thickBot="1" x14ac:dyDescent="0.4">
      <c r="A9" s="216" t="s">
        <v>164</v>
      </c>
      <c r="B9" s="216" t="s">
        <v>228</v>
      </c>
      <c r="C9" s="216" t="s">
        <v>243</v>
      </c>
      <c r="D9" s="216" t="s">
        <v>244</v>
      </c>
      <c r="E9" s="216" t="s">
        <v>245</v>
      </c>
      <c r="F9" s="216" t="s">
        <v>246</v>
      </c>
      <c r="G9" s="216" t="s">
        <v>247</v>
      </c>
      <c r="H9" s="216" t="s">
        <v>248</v>
      </c>
      <c r="I9" s="216" t="s">
        <v>260</v>
      </c>
      <c r="J9" s="216" t="s">
        <v>277</v>
      </c>
      <c r="M9" s="316" t="s">
        <v>157</v>
      </c>
      <c r="N9" s="320"/>
      <c r="O9" s="320"/>
    </row>
    <row r="10" spans="1:15" ht="18" thickBot="1" x14ac:dyDescent="0.4">
      <c r="A10" s="31" t="s">
        <v>166</v>
      </c>
      <c r="B10" s="49">
        <v>4</v>
      </c>
      <c r="C10" s="49">
        <v>3</v>
      </c>
      <c r="D10" s="49">
        <v>4</v>
      </c>
      <c r="E10" s="49">
        <v>3</v>
      </c>
      <c r="F10" s="49">
        <v>4</v>
      </c>
      <c r="G10" s="49">
        <v>3</v>
      </c>
      <c r="H10" s="49">
        <v>4</v>
      </c>
      <c r="I10" s="49">
        <v>3</v>
      </c>
      <c r="J10" s="49">
        <v>4</v>
      </c>
      <c r="M10" s="317" t="s">
        <v>159</v>
      </c>
      <c r="N10" s="320"/>
      <c r="O10" s="320"/>
    </row>
    <row r="11" spans="1:15" ht="18" thickBot="1" x14ac:dyDescent="0.4">
      <c r="A11" s="31" t="s">
        <v>157</v>
      </c>
      <c r="B11" s="49">
        <v>3</v>
      </c>
      <c r="C11" s="49">
        <v>2</v>
      </c>
      <c r="D11" s="49">
        <v>3</v>
      </c>
      <c r="E11" s="49">
        <v>2</v>
      </c>
      <c r="F11" s="49">
        <v>3</v>
      </c>
      <c r="G11" s="49">
        <v>2</v>
      </c>
      <c r="H11" s="49">
        <v>3</v>
      </c>
      <c r="I11" s="49">
        <v>2</v>
      </c>
      <c r="J11" s="49">
        <v>3</v>
      </c>
      <c r="M11" s="318" t="s">
        <v>161</v>
      </c>
      <c r="N11" s="320"/>
      <c r="O11" s="320"/>
    </row>
    <row r="12" spans="1:15" x14ac:dyDescent="0.35">
      <c r="A12" s="31" t="s">
        <v>159</v>
      </c>
      <c r="B12" s="49">
        <v>2</v>
      </c>
      <c r="C12" s="49">
        <v>1</v>
      </c>
      <c r="D12" s="49">
        <v>2</v>
      </c>
      <c r="E12" s="49">
        <v>1</v>
      </c>
      <c r="F12" s="49">
        <v>2</v>
      </c>
      <c r="G12" s="49">
        <v>1</v>
      </c>
      <c r="H12" s="49">
        <v>2</v>
      </c>
      <c r="I12" s="49">
        <v>1</v>
      </c>
      <c r="J12" s="49">
        <v>2</v>
      </c>
    </row>
    <row r="13" spans="1:15" x14ac:dyDescent="0.35">
      <c r="A13" s="31" t="s">
        <v>161</v>
      </c>
      <c r="B13" s="49">
        <v>1</v>
      </c>
      <c r="C13" s="49">
        <v>0</v>
      </c>
      <c r="D13" s="49">
        <v>1</v>
      </c>
      <c r="E13" s="49">
        <v>0</v>
      </c>
      <c r="F13" s="49">
        <v>1</v>
      </c>
      <c r="G13" s="49">
        <v>0</v>
      </c>
      <c r="H13" s="49">
        <v>1</v>
      </c>
      <c r="I13" s="49">
        <v>0</v>
      </c>
      <c r="J13" s="49">
        <v>1</v>
      </c>
    </row>
    <row r="14" spans="1:15" x14ac:dyDescent="0.35">
      <c r="A14" s="31" t="s">
        <v>118</v>
      </c>
      <c r="B14" s="49">
        <v>0</v>
      </c>
      <c r="C14" s="49">
        <v>0</v>
      </c>
      <c r="D14" s="49">
        <v>0</v>
      </c>
      <c r="E14" s="49">
        <v>0</v>
      </c>
      <c r="F14" s="49">
        <v>0</v>
      </c>
      <c r="G14" s="49">
        <v>0</v>
      </c>
      <c r="H14" s="49">
        <v>0</v>
      </c>
      <c r="I14" s="49">
        <v>0</v>
      </c>
      <c r="J14" s="49">
        <v>0</v>
      </c>
    </row>
    <row r="16" spans="1:15" ht="18" thickBot="1" x14ac:dyDescent="0.4">
      <c r="A16" s="216" t="s">
        <v>520</v>
      </c>
      <c r="B16" s="216" t="s">
        <v>521</v>
      </c>
    </row>
    <row r="17" spans="1:2" x14ac:dyDescent="0.35">
      <c r="A17" s="31" t="s">
        <v>113</v>
      </c>
      <c r="B17" s="49">
        <v>4</v>
      </c>
    </row>
    <row r="18" spans="1:2" x14ac:dyDescent="0.35">
      <c r="A18" s="31" t="s">
        <v>114</v>
      </c>
      <c r="B18" s="49">
        <v>3</v>
      </c>
    </row>
    <row r="19" spans="1:2" x14ac:dyDescent="0.35">
      <c r="A19" s="31" t="s">
        <v>116</v>
      </c>
      <c r="B19" s="49">
        <v>2</v>
      </c>
    </row>
    <row r="20" spans="1:2" x14ac:dyDescent="0.35">
      <c r="A20" s="31" t="s">
        <v>115</v>
      </c>
      <c r="B20" s="49">
        <v>1</v>
      </c>
    </row>
    <row r="21" spans="1:2" x14ac:dyDescent="0.35">
      <c r="A21" s="31" t="s">
        <v>118</v>
      </c>
      <c r="B21" s="49">
        <v>0</v>
      </c>
    </row>
  </sheetData>
  <mergeCells count="6">
    <mergeCell ref="N5:O5"/>
    <mergeCell ref="B1:F1"/>
    <mergeCell ref="N1:O1"/>
    <mergeCell ref="N2:O2"/>
    <mergeCell ref="N3:O3"/>
    <mergeCell ref="N4:O4"/>
  </mergeCells>
  <pageMargins left="0.7" right="0.7" top="0.75" bottom="0.75" header="0.3" footer="0.3"/>
  <pageSetup paperSize="256" orientation="portrait" horizontalDpi="1200" verticalDpi="1200"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DE610-5FED-44DF-9971-CCDCDB657D30}">
  <sheetPr codeName="Sheet2">
    <tabColor theme="4" tint="0.39997558519241921"/>
    <pageSetUpPr autoPageBreaks="0"/>
  </sheetPr>
  <dimension ref="A1:BB45"/>
  <sheetViews>
    <sheetView showGridLines="0" showRowColHeaders="0" topLeftCell="A10" zoomScale="85" zoomScaleNormal="85" workbookViewId="0">
      <selection activeCell="I5" sqref="I5"/>
    </sheetView>
  </sheetViews>
  <sheetFormatPr defaultColWidth="9" defaultRowHeight="17.5" x14ac:dyDescent="0.35"/>
  <cols>
    <col min="1" max="1" width="5.25" style="13" customWidth="1"/>
    <col min="2" max="2" width="18" style="13" customWidth="1"/>
    <col min="3" max="3" width="11.9375" style="13" customWidth="1"/>
    <col min="4" max="4" width="27.25" style="13" customWidth="1"/>
    <col min="5" max="5" width="5.0625" style="13" customWidth="1"/>
    <col min="6" max="6" width="16.25" style="13" customWidth="1"/>
    <col min="7" max="7" width="19.4375" style="13" customWidth="1"/>
    <col min="8" max="8" width="9" style="13"/>
    <col min="9" max="9" width="23.9375" style="13" bestFit="1" customWidth="1"/>
    <col min="10" max="10" width="71.0625" style="13" customWidth="1"/>
    <col min="11" max="16384" width="9" style="13"/>
  </cols>
  <sheetData>
    <row r="1" spans="1:54" x14ac:dyDescent="0.35">
      <c r="C1" s="374" t="s">
        <v>25</v>
      </c>
      <c r="D1" s="374"/>
      <c r="E1" s="374"/>
      <c r="F1" s="374"/>
    </row>
    <row r="2" spans="1:54" x14ac:dyDescent="0.35">
      <c r="C2" s="374"/>
      <c r="D2" s="374"/>
      <c r="E2" s="374"/>
      <c r="F2" s="374"/>
    </row>
    <row r="3" spans="1:54" ht="18" x14ac:dyDescent="0.35">
      <c r="B3" s="54"/>
      <c r="C3" s="374"/>
      <c r="D3" s="374"/>
      <c r="E3" s="374"/>
      <c r="F3" s="374"/>
    </row>
    <row r="4" spans="1:54" ht="21.65" customHeight="1" x14ac:dyDescent="0.35">
      <c r="C4" s="374"/>
      <c r="D4" s="374"/>
      <c r="E4" s="374"/>
      <c r="F4" s="374"/>
      <c r="H4"/>
      <c r="I4"/>
      <c r="J4"/>
    </row>
    <row r="5" spans="1:54" ht="18" x14ac:dyDescent="0.35">
      <c r="B5" s="373" t="s">
        <v>26</v>
      </c>
      <c r="C5" s="373"/>
      <c r="D5" s="373"/>
      <c r="E5" s="373"/>
      <c r="F5" s="373"/>
      <c r="G5" s="373"/>
      <c r="I5"/>
      <c r="J5"/>
    </row>
    <row r="6" spans="1:54" ht="29.9" customHeight="1" x14ac:dyDescent="0.35">
      <c r="B6" s="377" t="s">
        <v>27</v>
      </c>
      <c r="C6" s="377"/>
      <c r="D6" s="377"/>
      <c r="E6" s="377"/>
      <c r="F6" s="377"/>
      <c r="G6" s="377"/>
      <c r="I6"/>
      <c r="J6"/>
    </row>
    <row r="7" spans="1:54" ht="51" customHeight="1" x14ac:dyDescent="0.35">
      <c r="B7" s="372" t="s">
        <v>533</v>
      </c>
      <c r="C7" s="372"/>
      <c r="D7" s="372"/>
      <c r="E7" s="372"/>
      <c r="F7" s="372"/>
      <c r="G7" s="372"/>
      <c r="I7"/>
      <c r="J7"/>
    </row>
    <row r="8" spans="1:54" ht="22.5" customHeight="1" x14ac:dyDescent="0.35">
      <c r="I8"/>
      <c r="J8"/>
    </row>
    <row r="9" spans="1:54" ht="57.5" customHeight="1" x14ac:dyDescent="0.35">
      <c r="B9" s="372" t="s">
        <v>531</v>
      </c>
      <c r="C9" s="372"/>
      <c r="D9" s="372"/>
      <c r="E9" s="372"/>
      <c r="F9" s="372"/>
      <c r="G9" s="372"/>
      <c r="I9"/>
      <c r="J9"/>
    </row>
    <row r="10" spans="1:54" ht="20" x14ac:dyDescent="0.4">
      <c r="B10" s="376" t="s">
        <v>28</v>
      </c>
      <c r="C10" s="376"/>
      <c r="D10" s="376"/>
      <c r="E10" s="376"/>
      <c r="F10" s="376"/>
      <c r="G10" s="376"/>
      <c r="I10"/>
      <c r="J10"/>
    </row>
    <row r="11" spans="1:54" s="302" customFormat="1" ht="18" x14ac:dyDescent="0.4">
      <c r="A11" s="13"/>
      <c r="B11" s="379"/>
      <c r="C11" s="379"/>
      <c r="D11" s="379"/>
      <c r="E11" s="379"/>
      <c r="F11" s="379"/>
      <c r="G11" s="379"/>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row>
    <row r="12" spans="1:54" s="302" customFormat="1" ht="100.5" customHeight="1" x14ac:dyDescent="0.35">
      <c r="B12" s="378" t="s">
        <v>534</v>
      </c>
      <c r="C12" s="378"/>
      <c r="D12" s="378"/>
      <c r="E12" s="378"/>
      <c r="F12" s="378"/>
      <c r="G12" s="378"/>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row>
    <row r="13" spans="1:54" ht="235.5" customHeight="1" x14ac:dyDescent="0.35">
      <c r="B13" s="378" t="s">
        <v>540</v>
      </c>
      <c r="C13" s="378"/>
      <c r="D13" s="378"/>
      <c r="E13" s="378"/>
      <c r="F13" s="378"/>
      <c r="G13" s="378"/>
      <c r="I13" t="s">
        <v>465</v>
      </c>
      <c r="J13"/>
    </row>
    <row r="14" spans="1:54" x14ac:dyDescent="0.35">
      <c r="B14" s="302"/>
      <c r="I14" s="301"/>
    </row>
    <row r="15" spans="1:54" ht="20" x14ac:dyDescent="0.4">
      <c r="B15" s="376" t="s">
        <v>524</v>
      </c>
      <c r="C15" s="376"/>
      <c r="D15" s="376"/>
      <c r="E15" s="376"/>
      <c r="F15" s="376"/>
      <c r="G15" s="376"/>
    </row>
    <row r="16" spans="1:54" x14ac:dyDescent="0.35">
      <c r="B16" s="302"/>
    </row>
    <row r="18" spans="2:7" ht="57" customHeight="1" x14ac:dyDescent="0.35"/>
    <row r="19" spans="2:7" ht="57" customHeight="1" x14ac:dyDescent="0.35">
      <c r="D19"/>
    </row>
    <row r="20" spans="2:7" ht="57" customHeight="1" x14ac:dyDescent="0.35"/>
    <row r="21" spans="2:7" ht="57" customHeight="1" x14ac:dyDescent="0.35"/>
    <row r="22" spans="2:7" ht="57" customHeight="1" x14ac:dyDescent="0.35"/>
    <row r="23" spans="2:7" ht="57" customHeight="1" x14ac:dyDescent="0.35"/>
    <row r="24" spans="2:7" ht="57" customHeight="1" x14ac:dyDescent="0.35"/>
    <row r="25" spans="2:7" ht="57" customHeight="1" x14ac:dyDescent="0.35"/>
    <row r="26" spans="2:7" ht="21" customHeight="1" x14ac:dyDescent="0.35"/>
    <row r="27" spans="2:7" ht="21" customHeight="1" x14ac:dyDescent="0.35"/>
    <row r="28" spans="2:7" ht="21" customHeight="1" x14ac:dyDescent="0.35"/>
    <row r="29" spans="2:7" ht="21" customHeight="1" x14ac:dyDescent="0.35"/>
    <row r="30" spans="2:7" ht="21.9" customHeight="1" x14ac:dyDescent="0.4">
      <c r="B30" s="376" t="s">
        <v>29</v>
      </c>
      <c r="C30" s="376"/>
      <c r="D30" s="376"/>
      <c r="E30" s="376"/>
      <c r="F30" s="376"/>
      <c r="G30" s="376"/>
    </row>
    <row r="31" spans="2:7" ht="18" x14ac:dyDescent="0.35">
      <c r="B31" s="47" t="s">
        <v>30</v>
      </c>
      <c r="C31" s="47" t="s">
        <v>31</v>
      </c>
      <c r="D31" s="375" t="s">
        <v>32</v>
      </c>
      <c r="E31" s="375"/>
      <c r="F31" s="375" t="s">
        <v>33</v>
      </c>
      <c r="G31" s="375"/>
    </row>
    <row r="32" spans="2:7" ht="30" customHeight="1" x14ac:dyDescent="0.35">
      <c r="B32" s="48" t="s">
        <v>486</v>
      </c>
      <c r="C32" s="52">
        <v>45250</v>
      </c>
      <c r="D32" s="380" t="s">
        <v>34</v>
      </c>
      <c r="E32" s="380"/>
      <c r="F32" s="380"/>
      <c r="G32" s="380"/>
    </row>
    <row r="33" spans="2:10" x14ac:dyDescent="0.35">
      <c r="B33" s="361" t="s">
        <v>525</v>
      </c>
      <c r="C33" s="51">
        <v>45271</v>
      </c>
      <c r="D33" s="380" t="s">
        <v>556</v>
      </c>
      <c r="E33" s="381"/>
      <c r="F33" s="380" t="s">
        <v>523</v>
      </c>
      <c r="G33" s="381"/>
    </row>
    <row r="34" spans="2:10" ht="36.5" customHeight="1" x14ac:dyDescent="0.35">
      <c r="B34" s="361" t="s">
        <v>542</v>
      </c>
      <c r="C34" s="51">
        <v>45415</v>
      </c>
      <c r="D34" s="380" t="s">
        <v>554</v>
      </c>
      <c r="E34" s="381"/>
      <c r="F34" s="380" t="s">
        <v>555</v>
      </c>
      <c r="G34" s="381"/>
    </row>
    <row r="35" spans="2:10" x14ac:dyDescent="0.35">
      <c r="B35" s="48"/>
      <c r="C35" s="48"/>
      <c r="D35" s="381"/>
      <c r="E35" s="381"/>
      <c r="F35" s="381"/>
      <c r="G35" s="381"/>
    </row>
    <row r="37" spans="2:10" ht="24.9" customHeight="1" x14ac:dyDescent="0.4">
      <c r="B37" s="376" t="s">
        <v>35</v>
      </c>
      <c r="C37" s="376"/>
      <c r="D37" s="376"/>
      <c r="E37" s="376"/>
      <c r="F37" s="376"/>
      <c r="G37" s="376"/>
      <c r="J37"/>
    </row>
    <row r="38" spans="2:10" ht="60.5" customHeight="1" x14ac:dyDescent="0.35">
      <c r="B38" s="382" t="s">
        <v>532</v>
      </c>
      <c r="C38" s="382"/>
      <c r="D38" s="382"/>
      <c r="E38" s="382"/>
      <c r="F38" s="382"/>
      <c r="G38" s="382"/>
    </row>
    <row r="39" spans="2:10" ht="29.4" customHeight="1" x14ac:dyDescent="0.35">
      <c r="B39" s="382" t="s">
        <v>487</v>
      </c>
      <c r="C39" s="382"/>
      <c r="D39" s="382"/>
      <c r="E39" s="382"/>
      <c r="F39" s="382"/>
      <c r="G39" s="382"/>
    </row>
    <row r="40" spans="2:10" ht="58.5" customHeight="1" x14ac:dyDescent="0.35">
      <c r="B40" s="371" t="s">
        <v>36</v>
      </c>
      <c r="C40" s="371"/>
      <c r="D40" s="371"/>
      <c r="E40" s="371"/>
      <c r="F40" s="371"/>
      <c r="G40" s="371"/>
    </row>
    <row r="41" spans="2:10" ht="32.15" customHeight="1" x14ac:dyDescent="0.35">
      <c r="B41" s="371" t="s">
        <v>37</v>
      </c>
      <c r="C41" s="371"/>
      <c r="D41" s="371"/>
      <c r="E41" s="371"/>
      <c r="F41" s="371"/>
      <c r="G41" s="371"/>
    </row>
    <row r="42" spans="2:10" ht="45.65" customHeight="1" x14ac:dyDescent="0.35">
      <c r="B42" s="371" t="s">
        <v>528</v>
      </c>
      <c r="C42" s="371"/>
      <c r="D42" s="371"/>
      <c r="E42" s="371"/>
      <c r="F42" s="371"/>
      <c r="G42" s="371"/>
    </row>
    <row r="43" spans="2:10" ht="47.4" customHeight="1" x14ac:dyDescent="0.35">
      <c r="B43" s="371" t="s">
        <v>38</v>
      </c>
      <c r="C43" s="371"/>
      <c r="D43" s="371"/>
      <c r="E43" s="371"/>
      <c r="F43" s="371"/>
      <c r="G43" s="371"/>
    </row>
    <row r="44" spans="2:10" ht="44.15" customHeight="1" x14ac:dyDescent="0.35">
      <c r="B44" s="371" t="s">
        <v>39</v>
      </c>
      <c r="C44" s="371"/>
      <c r="D44" s="371"/>
      <c r="E44" s="371"/>
      <c r="F44" s="371"/>
      <c r="G44" s="371"/>
    </row>
    <row r="45" spans="2:10" ht="51" customHeight="1" x14ac:dyDescent="0.35">
      <c r="B45" s="371" t="s">
        <v>488</v>
      </c>
      <c r="C45" s="371"/>
      <c r="D45" s="371"/>
      <c r="E45" s="371"/>
      <c r="F45" s="371"/>
      <c r="G45" s="371"/>
    </row>
  </sheetData>
  <sheetProtection algorithmName="SHA-512" hashValue="rd0Ho+IdLoYlOu2x7l7+q2EKwIUOs5iE4h+Nw5AlVYiQ1OZrUV9xBYbwgrJpeUw6NGWhBZzz/FU3LTWvxWI9nQ==" saltValue="DtHitQ+EnoXkXH8ZhpoyDA==" spinCount="100000" sheet="1" selectLockedCells="1" selectUnlockedCells="1"/>
  <mergeCells count="30">
    <mergeCell ref="B43:G43"/>
    <mergeCell ref="B44:G44"/>
    <mergeCell ref="B39:G39"/>
    <mergeCell ref="B40:G40"/>
    <mergeCell ref="B41:G41"/>
    <mergeCell ref="B42:G42"/>
    <mergeCell ref="F34:G34"/>
    <mergeCell ref="B30:G30"/>
    <mergeCell ref="B37:G37"/>
    <mergeCell ref="B38:G38"/>
    <mergeCell ref="F33:G33"/>
    <mergeCell ref="D35:E35"/>
    <mergeCell ref="F35:G35"/>
    <mergeCell ref="D33:E33"/>
    <mergeCell ref="B45:G45"/>
    <mergeCell ref="B9:G9"/>
    <mergeCell ref="B5:G5"/>
    <mergeCell ref="C1:F4"/>
    <mergeCell ref="D31:E31"/>
    <mergeCell ref="F31:G31"/>
    <mergeCell ref="B7:G7"/>
    <mergeCell ref="B10:G10"/>
    <mergeCell ref="B6:G6"/>
    <mergeCell ref="B13:G13"/>
    <mergeCell ref="B15:G15"/>
    <mergeCell ref="B12:G12"/>
    <mergeCell ref="B11:G11"/>
    <mergeCell ref="D32:E32"/>
    <mergeCell ref="F32:G32"/>
    <mergeCell ref="D34:E3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58836-4E54-4959-998D-AA6BF44CA4D0}">
  <sheetPr codeName="Sheet3">
    <tabColor theme="4" tint="0.59999389629810485"/>
    <pageSetUpPr autoPageBreaks="0"/>
  </sheetPr>
  <dimension ref="A1:B53"/>
  <sheetViews>
    <sheetView showGridLines="0" showRowColHeaders="0" tabSelected="1" zoomScale="78" workbookViewId="0">
      <selection activeCell="D8" sqref="D8"/>
    </sheetView>
  </sheetViews>
  <sheetFormatPr defaultRowHeight="17.5" x14ac:dyDescent="0.35"/>
  <cols>
    <col min="1" max="1" width="25.625" style="49" customWidth="1"/>
    <col min="2" max="2" width="81.25" style="49" bestFit="1" customWidth="1"/>
  </cols>
  <sheetData>
    <row r="1" spans="1:2" ht="43.65" customHeight="1" x14ac:dyDescent="0.35">
      <c r="A1" s="270" t="s">
        <v>216</v>
      </c>
      <c r="B1" s="270"/>
    </row>
    <row r="2" spans="1:2" ht="18" x14ac:dyDescent="0.35">
      <c r="A2" s="274" t="s">
        <v>405</v>
      </c>
      <c r="B2" s="275" t="s">
        <v>63</v>
      </c>
    </row>
    <row r="3" spans="1:2" ht="52.5" x14ac:dyDescent="0.35">
      <c r="A3" s="272" t="s">
        <v>175</v>
      </c>
      <c r="B3" s="269" t="s">
        <v>356</v>
      </c>
    </row>
    <row r="4" spans="1:2" ht="35" x14ac:dyDescent="0.35">
      <c r="A4" s="272" t="s">
        <v>176</v>
      </c>
      <c r="B4" s="269" t="s">
        <v>183</v>
      </c>
    </row>
    <row r="5" spans="1:2" ht="35" x14ac:dyDescent="0.35">
      <c r="A5" s="272" t="s">
        <v>469</v>
      </c>
      <c r="B5" s="269" t="s">
        <v>188</v>
      </c>
    </row>
    <row r="6" spans="1:2" ht="18" x14ac:dyDescent="0.35">
      <c r="A6" s="272" t="s">
        <v>352</v>
      </c>
      <c r="B6" s="269" t="s">
        <v>184</v>
      </c>
    </row>
    <row r="7" spans="1:2" ht="52.5" x14ac:dyDescent="0.35">
      <c r="A7" s="272" t="s">
        <v>353</v>
      </c>
      <c r="B7" s="269" t="s">
        <v>355</v>
      </c>
    </row>
    <row r="8" spans="1:2" ht="52.5" x14ac:dyDescent="0.35">
      <c r="A8" s="272" t="s">
        <v>354</v>
      </c>
      <c r="B8" s="269" t="s">
        <v>357</v>
      </c>
    </row>
    <row r="9" spans="1:2" ht="35" x14ac:dyDescent="0.35">
      <c r="A9" s="321" t="s">
        <v>490</v>
      </c>
      <c r="B9" s="269" t="s">
        <v>208</v>
      </c>
    </row>
    <row r="10" spans="1:2" ht="105" x14ac:dyDescent="0.35">
      <c r="A10" s="272" t="s">
        <v>64</v>
      </c>
      <c r="B10" s="269" t="s">
        <v>539</v>
      </c>
    </row>
    <row r="11" spans="1:2" ht="70" x14ac:dyDescent="0.35">
      <c r="A11" s="272" t="s">
        <v>177</v>
      </c>
      <c r="B11" s="269" t="s">
        <v>185</v>
      </c>
    </row>
    <row r="12" spans="1:2" ht="52.5" x14ac:dyDescent="0.35">
      <c r="A12" s="272" t="s">
        <v>82</v>
      </c>
      <c r="B12" s="269" t="s">
        <v>535</v>
      </c>
    </row>
    <row r="13" spans="1:2" ht="52.5" x14ac:dyDescent="0.35">
      <c r="A13" s="272" t="s">
        <v>446</v>
      </c>
      <c r="B13" s="269" t="s">
        <v>187</v>
      </c>
    </row>
    <row r="14" spans="1:2" ht="52.5" x14ac:dyDescent="0.35">
      <c r="A14" s="322" t="s">
        <v>489</v>
      </c>
      <c r="B14" s="269" t="s">
        <v>209</v>
      </c>
    </row>
    <row r="15" spans="1:2" ht="262.5" x14ac:dyDescent="0.35">
      <c r="A15" s="273" t="s">
        <v>358</v>
      </c>
      <c r="B15" s="269" t="s">
        <v>367</v>
      </c>
    </row>
    <row r="16" spans="1:2" ht="52.5" x14ac:dyDescent="0.35">
      <c r="A16" s="272" t="s">
        <v>69</v>
      </c>
      <c r="B16" s="269" t="s">
        <v>536</v>
      </c>
    </row>
    <row r="17" spans="1:2" ht="18" x14ac:dyDescent="0.35">
      <c r="A17" s="272" t="s">
        <v>178</v>
      </c>
      <c r="B17" s="269" t="s">
        <v>537</v>
      </c>
    </row>
    <row r="18" spans="1:2" ht="52.5" x14ac:dyDescent="0.35">
      <c r="A18" s="272" t="s">
        <v>74</v>
      </c>
      <c r="B18" s="269" t="s">
        <v>440</v>
      </c>
    </row>
    <row r="19" spans="1:2" ht="52.5" x14ac:dyDescent="0.35">
      <c r="A19" s="272" t="s">
        <v>179</v>
      </c>
      <c r="B19" s="269" t="s">
        <v>200</v>
      </c>
    </row>
    <row r="20" spans="1:2" ht="52.5" x14ac:dyDescent="0.35">
      <c r="A20" s="322" t="s">
        <v>491</v>
      </c>
      <c r="B20" s="269" t="s">
        <v>382</v>
      </c>
    </row>
    <row r="21" spans="1:2" ht="79.400000000000006" customHeight="1" x14ac:dyDescent="0.35">
      <c r="A21" s="322" t="s">
        <v>495</v>
      </c>
      <c r="B21" s="269" t="s">
        <v>425</v>
      </c>
    </row>
    <row r="22" spans="1:2" ht="87.5" x14ac:dyDescent="0.35">
      <c r="A22" s="272" t="s">
        <v>66</v>
      </c>
      <c r="B22" s="269" t="s">
        <v>497</v>
      </c>
    </row>
    <row r="23" spans="1:2" ht="70" x14ac:dyDescent="0.35">
      <c r="A23" s="272" t="s">
        <v>412</v>
      </c>
      <c r="B23" s="269" t="s">
        <v>381</v>
      </c>
    </row>
    <row r="24" spans="1:2" ht="52.5" x14ac:dyDescent="0.35">
      <c r="A24" s="272" t="s">
        <v>180</v>
      </c>
      <c r="B24" s="269" t="s">
        <v>201</v>
      </c>
    </row>
    <row r="25" spans="1:2" ht="70" x14ac:dyDescent="0.35">
      <c r="A25" s="272" t="s">
        <v>181</v>
      </c>
      <c r="B25" s="269" t="s">
        <v>202</v>
      </c>
    </row>
    <row r="26" spans="1:2" ht="35" x14ac:dyDescent="0.35">
      <c r="A26" s="272" t="s">
        <v>210</v>
      </c>
      <c r="B26" s="269" t="s">
        <v>214</v>
      </c>
    </row>
    <row r="27" spans="1:2" ht="35" x14ac:dyDescent="0.35">
      <c r="A27" s="272" t="s">
        <v>444</v>
      </c>
      <c r="B27" s="269" t="s">
        <v>379</v>
      </c>
    </row>
    <row r="28" spans="1:2" ht="140" x14ac:dyDescent="0.35">
      <c r="A28" s="322" t="s">
        <v>494</v>
      </c>
      <c r="B28" s="269" t="s">
        <v>203</v>
      </c>
    </row>
    <row r="29" spans="1:2" ht="52.5" x14ac:dyDescent="0.35">
      <c r="A29" s="322" t="s">
        <v>493</v>
      </c>
      <c r="B29" s="269" t="s">
        <v>538</v>
      </c>
    </row>
    <row r="30" spans="1:2" ht="35" x14ac:dyDescent="0.35">
      <c r="A30" s="272" t="s">
        <v>81</v>
      </c>
      <c r="B30" s="269" t="s">
        <v>173</v>
      </c>
    </row>
    <row r="31" spans="1:2" ht="35" x14ac:dyDescent="0.35">
      <c r="A31" s="272" t="s">
        <v>79</v>
      </c>
      <c r="B31" s="269" t="s">
        <v>80</v>
      </c>
    </row>
    <row r="32" spans="1:2" ht="36" x14ac:dyDescent="0.35">
      <c r="A32" s="272" t="s">
        <v>78</v>
      </c>
      <c r="B32" s="269" t="s">
        <v>172</v>
      </c>
    </row>
    <row r="33" spans="1:2" ht="48" customHeight="1" x14ac:dyDescent="0.35">
      <c r="A33" s="272" t="s">
        <v>75</v>
      </c>
      <c r="B33" s="269" t="s">
        <v>76</v>
      </c>
    </row>
    <row r="34" spans="1:2" ht="35" x14ac:dyDescent="0.35">
      <c r="A34" s="272" t="s">
        <v>77</v>
      </c>
      <c r="B34" s="269" t="s">
        <v>378</v>
      </c>
    </row>
    <row r="35" spans="1:2" ht="104.15" customHeight="1" x14ac:dyDescent="0.35">
      <c r="A35" s="272" t="s">
        <v>475</v>
      </c>
      <c r="B35" s="269" t="s">
        <v>476</v>
      </c>
    </row>
    <row r="36" spans="1:2" ht="70" x14ac:dyDescent="0.35">
      <c r="A36" s="272" t="s">
        <v>211</v>
      </c>
      <c r="B36" s="269" t="s">
        <v>470</v>
      </c>
    </row>
    <row r="37" spans="1:2" ht="105" x14ac:dyDescent="0.35">
      <c r="A37" s="272" t="s">
        <v>174</v>
      </c>
      <c r="B37" s="269" t="s">
        <v>204</v>
      </c>
    </row>
    <row r="38" spans="1:2" ht="87.5" x14ac:dyDescent="0.35">
      <c r="A38" s="272" t="s">
        <v>447</v>
      </c>
      <c r="B38" s="269" t="s">
        <v>368</v>
      </c>
    </row>
    <row r="39" spans="1:2" ht="52.5" x14ac:dyDescent="0.35">
      <c r="A39" s="272" t="s">
        <v>448</v>
      </c>
      <c r="B39" s="269" t="s">
        <v>205</v>
      </c>
    </row>
    <row r="40" spans="1:2" ht="54" customHeight="1" x14ac:dyDescent="0.35">
      <c r="A40" s="272" t="s">
        <v>182</v>
      </c>
      <c r="B40" s="269" t="s">
        <v>186</v>
      </c>
    </row>
    <row r="41" spans="1:2" ht="35" x14ac:dyDescent="0.35">
      <c r="A41" s="272" t="s">
        <v>449</v>
      </c>
      <c r="B41" s="269" t="s">
        <v>369</v>
      </c>
    </row>
    <row r="42" spans="1:2" ht="36" x14ac:dyDescent="0.35">
      <c r="A42" s="272" t="s">
        <v>73</v>
      </c>
      <c r="B42" s="269" t="s">
        <v>189</v>
      </c>
    </row>
    <row r="43" spans="1:2" ht="52.5" x14ac:dyDescent="0.35">
      <c r="A43" s="272" t="s">
        <v>67</v>
      </c>
      <c r="B43" s="269" t="s">
        <v>68</v>
      </c>
    </row>
    <row r="44" spans="1:2" ht="50.4" customHeight="1" x14ac:dyDescent="0.35">
      <c r="A44" s="272" t="s">
        <v>65</v>
      </c>
      <c r="B44" s="269" t="s">
        <v>496</v>
      </c>
    </row>
    <row r="45" spans="1:2" ht="122.5" x14ac:dyDescent="0.35">
      <c r="A45" s="272" t="s">
        <v>445</v>
      </c>
      <c r="B45" s="269" t="s">
        <v>206</v>
      </c>
    </row>
    <row r="46" spans="1:2" ht="35" x14ac:dyDescent="0.35">
      <c r="A46" s="272" t="s">
        <v>471</v>
      </c>
      <c r="B46" s="269" t="s">
        <v>472</v>
      </c>
    </row>
    <row r="47" spans="1:2" ht="70" x14ac:dyDescent="0.35">
      <c r="A47" s="322" t="s">
        <v>492</v>
      </c>
      <c r="B47" s="269" t="s">
        <v>383</v>
      </c>
    </row>
    <row r="48" spans="1:2" ht="52.5" x14ac:dyDescent="0.35">
      <c r="A48" s="272" t="s">
        <v>212</v>
      </c>
      <c r="B48" s="269" t="s">
        <v>473</v>
      </c>
    </row>
    <row r="49" spans="1:2" ht="18" x14ac:dyDescent="0.35">
      <c r="A49" s="272" t="s">
        <v>213</v>
      </c>
      <c r="B49" s="269" t="s">
        <v>215</v>
      </c>
    </row>
    <row r="50" spans="1:2" ht="52.5" x14ac:dyDescent="0.35">
      <c r="A50" s="272" t="s">
        <v>84</v>
      </c>
      <c r="B50" s="269" t="s">
        <v>207</v>
      </c>
    </row>
    <row r="51" spans="1:2" ht="35" x14ac:dyDescent="0.35">
      <c r="A51" s="272" t="s">
        <v>70</v>
      </c>
      <c r="B51" s="269" t="s">
        <v>71</v>
      </c>
    </row>
    <row r="52" spans="1:2" ht="35" x14ac:dyDescent="0.35">
      <c r="A52" s="272" t="s">
        <v>72</v>
      </c>
      <c r="B52" s="269" t="s">
        <v>190</v>
      </c>
    </row>
    <row r="53" spans="1:2" ht="36" x14ac:dyDescent="0.35">
      <c r="A53" s="276" t="s">
        <v>411</v>
      </c>
      <c r="B53" s="279" t="s">
        <v>380</v>
      </c>
    </row>
  </sheetData>
  <sheetProtection algorithmName="SHA-512" hashValue="rh/ahDj2G63S2/+rk2IUrYw+hzqMj2B90WlcMwRoAoSX15e6QjpoeVX4/PkPqwpm16n8OyJsImDSrqg7eJuuNQ==" saltValue="Sz7uQJa9xzeJ9spteAIceg==" spinCount="100000" sheet="1" objects="1" scenarios="1"/>
  <hyperlinks>
    <hyperlink ref="A9" r:id="rId1" display="https://vanclimatefutures.gov.vu/assets/docs/Coastal Inundation.pdf" xr:uid="{3897AFD7-C7C2-4169-9A54-5F1DC341BEB2}"/>
    <hyperlink ref="A14" r:id="rId2" display="https://vanclimatefutures.gov.vu/assets/docs/Drought.pdf" xr:uid="{BD9CE5AB-D082-4C87-B5F3-EB21542A38E3}"/>
    <hyperlink ref="A20" r:id="rId3" display="https://vanclimatefutures.gov.vu/assets/docs/Extreme Rainfall Explainer.pdf" xr:uid="{2C1429A6-6C38-4BC3-9A04-2AF93236B87A}"/>
    <hyperlink ref="A47" r:id="rId4" display="https://vanclimatefutures.gov.vu/assets/docs/Tropical Cyclone.pdf" xr:uid="{704EDDED-2B92-4497-B8E3-B8FDCC73D060}"/>
    <hyperlink ref="A29" r:id="rId5" display="https://vanclimatefutures.gov.vu/assets/docs/Ocean Acidification.pdf" xr:uid="{2441113F-3824-4AB5-89FA-E2229462CCAD}"/>
    <hyperlink ref="A28" r:id="rId6" display="https://vanclimatefutures.gov.vu/assets/docs/Marine Heat Waves.pdf" xr:uid="{48A3CD76-1D74-4F3C-8CAA-99FB0AE35D24}"/>
    <hyperlink ref="A21" r:id="rId7" display="https://vanclimatefutures.gov.vu/assets/docs/National &amp; Sub-national Projections Technical Report.pdf" xr:uid="{5D2CD816-D073-40E9-A68D-4EDE7B0C81A9}"/>
  </hyperlinks>
  <pageMargins left="0.7" right="0.7" top="0.75" bottom="0.75" header="0.3" footer="0.3"/>
  <pageSetup paperSize="256" orientation="portrait" horizontalDpi="1200" verticalDpi="1200" r:id="rId8"/>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3E4EA-9A84-4A52-9004-A6EA20E9E730}">
  <sheetPr codeName="Sheet4">
    <tabColor theme="9" tint="0.79998168889431442"/>
    <pageSetUpPr autoPageBreaks="0"/>
  </sheetPr>
  <dimension ref="A1:V223"/>
  <sheetViews>
    <sheetView showGridLines="0" showRowColHeaders="0" zoomScale="55" zoomScaleNormal="55" zoomScaleSheetLayoutView="50" workbookViewId="0">
      <selection activeCell="K209" sqref="K209:Q209"/>
    </sheetView>
  </sheetViews>
  <sheetFormatPr defaultRowHeight="17.5" x14ac:dyDescent="0.35"/>
  <cols>
    <col min="1" max="1" width="5.25" customWidth="1"/>
    <col min="2" max="2" width="15.0625" style="23" customWidth="1"/>
    <col min="3" max="3" width="26.4375" customWidth="1"/>
    <col min="4" max="16" width="7.625" customWidth="1"/>
    <col min="17" max="17" width="8.4375" customWidth="1"/>
    <col min="18" max="18" width="40.9375" customWidth="1"/>
    <col min="19" max="19" width="24" customWidth="1"/>
  </cols>
  <sheetData>
    <row r="1" spans="1:18" ht="66" customHeight="1" x14ac:dyDescent="0.35">
      <c r="A1" s="365"/>
      <c r="B1" s="491" t="s">
        <v>526</v>
      </c>
      <c r="C1" s="491"/>
      <c r="D1" s="491"/>
      <c r="E1" s="491"/>
      <c r="F1" s="144"/>
      <c r="G1" s="144"/>
      <c r="H1" s="144"/>
      <c r="I1" s="144"/>
      <c r="J1" s="144"/>
      <c r="K1" s="144"/>
      <c r="L1" s="489" t="s">
        <v>26</v>
      </c>
      <c r="M1" s="489"/>
      <c r="N1" s="489"/>
      <c r="O1" s="489"/>
      <c r="P1" s="489"/>
      <c r="Q1" s="490"/>
    </row>
    <row r="2" spans="1:18" ht="64.5" customHeight="1" x14ac:dyDescent="0.35">
      <c r="A2" s="365" t="s">
        <v>40</v>
      </c>
      <c r="B2" s="509" t="s">
        <v>509</v>
      </c>
      <c r="C2" s="510"/>
      <c r="D2" s="510"/>
      <c r="E2" s="510"/>
      <c r="F2" s="510"/>
      <c r="G2" s="510"/>
      <c r="H2" s="510"/>
      <c r="K2" s="60" t="str">
        <f>'Backroom - question input'!B4</f>
        <v>Date:</v>
      </c>
      <c r="L2" s="486"/>
      <c r="M2" s="487"/>
      <c r="N2" s="487"/>
      <c r="O2" s="487"/>
      <c r="P2" s="487"/>
      <c r="Q2" s="488"/>
    </row>
    <row r="3" spans="1:18" x14ac:dyDescent="0.35">
      <c r="A3" s="365">
        <v>0.1</v>
      </c>
      <c r="B3" s="308" t="str">
        <f>B10</f>
        <v>1. Understanding Industry</v>
      </c>
      <c r="C3" s="309"/>
      <c r="E3" s="84"/>
      <c r="G3" s="13"/>
      <c r="O3" s="174"/>
      <c r="Q3" s="139"/>
    </row>
    <row r="4" spans="1:18" ht="18" customHeight="1" x14ac:dyDescent="0.35">
      <c r="A4" s="365">
        <v>0.2</v>
      </c>
      <c r="B4" s="308" t="str">
        <f>B52</f>
        <v>2. Exposure</v>
      </c>
      <c r="C4" s="309"/>
      <c r="D4" s="221"/>
      <c r="E4" s="221"/>
      <c r="F4" s="221"/>
      <c r="G4" s="221"/>
      <c r="H4" s="221"/>
      <c r="I4" s="222" t="str">
        <f>'Backroom - question input'!B5</f>
        <v>Name of person filling out questions:</v>
      </c>
      <c r="J4" s="386"/>
      <c r="K4" s="386"/>
      <c r="L4" s="386"/>
      <c r="M4" s="386"/>
      <c r="N4" s="386"/>
      <c r="O4" s="386"/>
      <c r="P4" s="386"/>
      <c r="Q4" s="386"/>
    </row>
    <row r="5" spans="1:18" ht="17.399999999999999" customHeight="1" x14ac:dyDescent="0.35">
      <c r="A5" s="365">
        <v>0.3</v>
      </c>
      <c r="B5" s="308" t="str">
        <f>B106</f>
        <v>3. Vulnerability</v>
      </c>
      <c r="C5" s="309"/>
      <c r="D5" s="149"/>
      <c r="E5" s="149"/>
      <c r="F5" s="149"/>
      <c r="G5" s="149"/>
      <c r="H5" s="149"/>
      <c r="J5" s="386"/>
      <c r="K5" s="386"/>
      <c r="L5" s="386"/>
      <c r="M5" s="386"/>
      <c r="N5" s="386"/>
      <c r="O5" s="386"/>
      <c r="P5" s="386"/>
      <c r="Q5" s="386"/>
    </row>
    <row r="6" spans="1:18" ht="17.399999999999999" customHeight="1" x14ac:dyDescent="0.35">
      <c r="A6" s="365"/>
      <c r="B6" s="333" t="s">
        <v>482</v>
      </c>
      <c r="C6" s="325"/>
      <c r="I6" s="220" t="str">
        <f>'Backroom - question input'!B6</f>
        <v>Name of industry going through this assessment:</v>
      </c>
      <c r="J6" s="511"/>
      <c r="K6" s="449"/>
      <c r="L6" s="449"/>
      <c r="M6" s="449"/>
      <c r="N6" s="449"/>
      <c r="O6" s="449"/>
      <c r="P6" s="449"/>
      <c r="Q6" s="450"/>
    </row>
    <row r="7" spans="1:18" x14ac:dyDescent="0.35">
      <c r="A7" s="365"/>
      <c r="B7" s="308" t="str">
        <f>B151</f>
        <v>5. Understanding Existing Climate Risk Management</v>
      </c>
      <c r="C7" s="309"/>
      <c r="J7" s="453"/>
      <c r="K7" s="451"/>
      <c r="L7" s="451"/>
      <c r="M7" s="451"/>
      <c r="N7" s="451"/>
      <c r="O7" s="451"/>
      <c r="P7" s="451"/>
      <c r="Q7" s="452"/>
    </row>
    <row r="8" spans="1:18" x14ac:dyDescent="0.35">
      <c r="A8" s="365"/>
      <c r="B8" s="308" t="str">
        <f>B161</f>
        <v>6. Adaptation</v>
      </c>
      <c r="C8" s="309"/>
      <c r="J8" s="454"/>
      <c r="K8" s="455"/>
      <c r="L8" s="455"/>
      <c r="M8" s="455"/>
      <c r="N8" s="455"/>
      <c r="O8" s="455"/>
      <c r="P8" s="455"/>
      <c r="Q8" s="456"/>
    </row>
    <row r="9" spans="1:18" ht="32.15" customHeight="1" x14ac:dyDescent="0.35">
      <c r="A9" s="365"/>
      <c r="B9" s="324" t="str">
        <f>B201</f>
        <v>7. Hazard forecasting awareness</v>
      </c>
      <c r="Q9" s="19"/>
    </row>
    <row r="10" spans="1:18" ht="40.4" customHeight="1" x14ac:dyDescent="0.35">
      <c r="A10" s="365" t="s">
        <v>41</v>
      </c>
      <c r="B10" s="433" t="str">
        <f>'Backroom - question input'!B8</f>
        <v>1. Understanding Industry</v>
      </c>
      <c r="C10" s="433"/>
      <c r="D10" s="433"/>
      <c r="E10" s="433"/>
      <c r="F10" s="433"/>
      <c r="G10" s="433"/>
      <c r="H10" s="433"/>
      <c r="I10" s="433"/>
      <c r="J10" s="433"/>
      <c r="K10" s="433"/>
      <c r="L10" s="433"/>
      <c r="M10" s="433"/>
      <c r="N10" s="433"/>
      <c r="O10" s="433"/>
      <c r="P10" s="433"/>
      <c r="Q10" s="484"/>
    </row>
    <row r="11" spans="1:18" x14ac:dyDescent="0.35">
      <c r="A11" s="365"/>
      <c r="O11" s="17"/>
      <c r="Q11" s="97"/>
    </row>
    <row r="12" spans="1:18" ht="60" customHeight="1" x14ac:dyDescent="0.35">
      <c r="A12" s="365">
        <v>1.1000000000000001</v>
      </c>
      <c r="B12" s="388" t="str">
        <f>'Backroom - question input'!B9</f>
        <v>What is the objective of completing this assessment?</v>
      </c>
      <c r="C12" s="388"/>
      <c r="D12" s="388"/>
      <c r="E12" s="388"/>
      <c r="F12" s="385"/>
      <c r="G12" s="386"/>
      <c r="H12" s="386"/>
      <c r="I12" s="386"/>
      <c r="J12" s="386"/>
      <c r="K12" s="386"/>
      <c r="L12" s="386"/>
      <c r="M12" s="386"/>
      <c r="N12" s="386"/>
      <c r="O12" s="485"/>
      <c r="P12" s="386"/>
      <c r="Q12" s="386"/>
    </row>
    <row r="13" spans="1:18" x14ac:dyDescent="0.35">
      <c r="A13" s="365"/>
      <c r="O13" s="50"/>
      <c r="Q13" s="19"/>
    </row>
    <row r="14" spans="1:18" ht="18" x14ac:dyDescent="0.35">
      <c r="A14" s="365" t="str">
        <f>'Backroom - question input'!A10</f>
        <v>1.2a</v>
      </c>
      <c r="B14" s="397" t="str">
        <f>'Backroom - question input'!B10</f>
        <v>Does your industry rely on the following natural features? (either now or potentially in the future)</v>
      </c>
      <c r="C14" s="397"/>
      <c r="D14" s="397"/>
      <c r="E14" s="397"/>
      <c r="F14" s="397"/>
      <c r="G14" s="397"/>
      <c r="H14" s="397"/>
      <c r="I14" s="397"/>
      <c r="J14" s="397"/>
      <c r="K14" s="397"/>
      <c r="L14" s="397"/>
      <c r="M14" s="397"/>
      <c r="N14" s="397"/>
      <c r="O14" s="397"/>
      <c r="P14" s="397"/>
      <c r="Q14" s="437"/>
    </row>
    <row r="15" spans="1:18" x14ac:dyDescent="0.35">
      <c r="A15" s="365"/>
      <c r="F15" s="198" t="str">
        <f>'Backroom - question input'!F10</f>
        <v>Yes/No</v>
      </c>
      <c r="G15" s="389" t="str">
        <f>'Backroom - question input'!B11</f>
        <v>Please add any commentary on your answer here:</v>
      </c>
      <c r="H15" s="389"/>
      <c r="I15" s="389"/>
      <c r="J15" s="389"/>
      <c r="K15" s="389"/>
      <c r="L15" s="389"/>
      <c r="M15" s="389"/>
      <c r="N15" s="389"/>
      <c r="O15" s="389"/>
      <c r="P15" s="22"/>
      <c r="Q15" s="19"/>
    </row>
    <row r="16" spans="1:18" ht="33" customHeight="1" x14ac:dyDescent="0.35">
      <c r="A16" s="365"/>
      <c r="B16" s="383" t="str">
        <f>'Backroom - question input'!G2</f>
        <v>Coastal / Marine Ecosystems</v>
      </c>
      <c r="C16" s="383"/>
      <c r="D16" s="383"/>
      <c r="E16" s="383"/>
      <c r="F16" s="303"/>
      <c r="G16" s="386"/>
      <c r="H16" s="386"/>
      <c r="I16" s="386"/>
      <c r="J16" s="386"/>
      <c r="K16" s="386"/>
      <c r="L16" s="386"/>
      <c r="M16" s="386"/>
      <c r="N16" s="386"/>
      <c r="O16" s="386"/>
      <c r="P16" s="386"/>
      <c r="Q16" s="386"/>
      <c r="R16" s="157"/>
    </row>
    <row r="17" spans="1:17" ht="33" customHeight="1" x14ac:dyDescent="0.35">
      <c r="A17" s="365"/>
      <c r="B17" s="383" t="str">
        <f>'Backroom - question input'!G3</f>
        <v>Terrestrial Ecosystems</v>
      </c>
      <c r="C17" s="383"/>
      <c r="D17" s="383"/>
      <c r="E17" s="383"/>
      <c r="F17" s="303"/>
      <c r="G17" s="385"/>
      <c r="H17" s="386"/>
      <c r="I17" s="386"/>
      <c r="J17" s="386"/>
      <c r="K17" s="386"/>
      <c r="L17" s="386"/>
      <c r="M17" s="386"/>
      <c r="N17" s="386"/>
      <c r="O17" s="386"/>
      <c r="P17" s="386"/>
      <c r="Q17" s="386"/>
    </row>
    <row r="18" spans="1:17" ht="33" customHeight="1" x14ac:dyDescent="0.35">
      <c r="A18" s="365"/>
      <c r="B18" s="383" t="str">
        <f>'Backroom - question input'!G4</f>
        <v>Freshwater Ecosystems</v>
      </c>
      <c r="C18" s="383"/>
      <c r="D18" s="383"/>
      <c r="E18" s="383"/>
      <c r="F18" s="303"/>
      <c r="G18" s="386"/>
      <c r="H18" s="386"/>
      <c r="I18" s="386"/>
      <c r="J18" s="386"/>
      <c r="K18" s="386"/>
      <c r="L18" s="386"/>
      <c r="M18" s="386"/>
      <c r="N18" s="386"/>
      <c r="O18" s="390"/>
      <c r="P18" s="386"/>
      <c r="Q18" s="386"/>
    </row>
    <row r="19" spans="1:17" x14ac:dyDescent="0.35">
      <c r="A19" s="365"/>
      <c r="O19" s="50"/>
      <c r="P19" s="22"/>
      <c r="Q19" s="19"/>
    </row>
    <row r="20" spans="1:17" ht="18" x14ac:dyDescent="0.35">
      <c r="A20" s="365" t="str">
        <f>'Backroom - question input'!A13</f>
        <v>1.2b</v>
      </c>
      <c r="B20" s="397" t="str">
        <f>'Backroom - question input'!B13</f>
        <v>Does your industry rely on any of the following built features? (either now or potentially in the future)</v>
      </c>
      <c r="C20" s="397"/>
      <c r="D20" s="397"/>
      <c r="E20" s="397"/>
      <c r="F20" s="397"/>
      <c r="G20" s="397"/>
      <c r="H20" s="397"/>
      <c r="I20" s="397"/>
      <c r="J20" s="397"/>
      <c r="K20" s="397"/>
      <c r="L20" s="397"/>
      <c r="M20" s="397"/>
      <c r="N20" s="397"/>
      <c r="O20" s="397"/>
      <c r="P20" s="397"/>
      <c r="Q20" s="437"/>
    </row>
    <row r="21" spans="1:17" x14ac:dyDescent="0.35">
      <c r="A21" s="365"/>
      <c r="F21" s="198" t="str">
        <f>'Backroom - question input'!F10</f>
        <v>Yes/No</v>
      </c>
      <c r="G21" s="389" t="str">
        <f>'Backroom - question input'!B14</f>
        <v>Please add any commentary on your answers here:</v>
      </c>
      <c r="H21" s="389"/>
      <c r="I21" s="389"/>
      <c r="J21" s="389"/>
      <c r="K21" s="389"/>
      <c r="L21" s="389"/>
      <c r="M21" s="389"/>
      <c r="N21" s="389"/>
      <c r="O21" s="389"/>
      <c r="P21" s="22"/>
      <c r="Q21" s="19"/>
    </row>
    <row r="22" spans="1:17" ht="33" customHeight="1" x14ac:dyDescent="0.35">
      <c r="A22" s="365"/>
      <c r="C22" s="391" t="str">
        <f>'Backroom - question input'!I2</f>
        <v>Inhabited Buildings</v>
      </c>
      <c r="D22" s="391"/>
      <c r="E22" s="391"/>
      <c r="F22" s="303"/>
      <c r="G22" s="386"/>
      <c r="H22" s="386"/>
      <c r="I22" s="386"/>
      <c r="J22" s="386"/>
      <c r="K22" s="386"/>
      <c r="L22" s="386"/>
      <c r="M22" s="386"/>
      <c r="N22" s="386"/>
      <c r="O22" s="386"/>
      <c r="P22" s="386"/>
      <c r="Q22" s="386"/>
    </row>
    <row r="23" spans="1:17" ht="33" customHeight="1" x14ac:dyDescent="0.35">
      <c r="A23" s="365"/>
      <c r="C23" s="391" t="str">
        <f>'Backroom - question input'!I3</f>
        <v>Ports / Wharves</v>
      </c>
      <c r="D23" s="391"/>
      <c r="E23" s="391"/>
      <c r="F23" s="303"/>
      <c r="G23" s="386"/>
      <c r="H23" s="386"/>
      <c r="I23" s="386"/>
      <c r="J23" s="386"/>
      <c r="K23" s="386"/>
      <c r="L23" s="386"/>
      <c r="M23" s="386"/>
      <c r="N23" s="386"/>
      <c r="O23" s="386"/>
      <c r="P23" s="386"/>
      <c r="Q23" s="386"/>
    </row>
    <row r="24" spans="1:17" ht="33" customHeight="1" x14ac:dyDescent="0.35">
      <c r="A24" s="365"/>
      <c r="C24" s="391" t="str">
        <f>'Backroom - question input'!I4</f>
        <v>Airports / Airfields</v>
      </c>
      <c r="D24" s="391"/>
      <c r="E24" s="391"/>
      <c r="F24" s="303"/>
      <c r="G24" s="386"/>
      <c r="H24" s="386"/>
      <c r="I24" s="386"/>
      <c r="J24" s="386"/>
      <c r="K24" s="386"/>
      <c r="L24" s="386"/>
      <c r="M24" s="386"/>
      <c r="N24" s="386"/>
      <c r="O24" s="386"/>
      <c r="P24" s="386"/>
      <c r="Q24" s="386"/>
    </row>
    <row r="25" spans="1:17" ht="33" customHeight="1" x14ac:dyDescent="0.35">
      <c r="A25" s="365"/>
      <c r="C25" s="391" t="str">
        <f>'Backroom - question input'!I5</f>
        <v>Telecommunications</v>
      </c>
      <c r="D25" s="391"/>
      <c r="E25" s="391"/>
      <c r="F25" s="303"/>
      <c r="G25" s="386"/>
      <c r="H25" s="386"/>
      <c r="I25" s="386"/>
      <c r="J25" s="386"/>
      <c r="K25" s="386"/>
      <c r="L25" s="386"/>
      <c r="M25" s="386"/>
      <c r="N25" s="386"/>
      <c r="O25" s="386"/>
      <c r="P25" s="386"/>
      <c r="Q25" s="386"/>
    </row>
    <row r="26" spans="1:17" ht="33" customHeight="1" x14ac:dyDescent="0.35">
      <c r="A26" s="365"/>
      <c r="C26" s="391" t="str">
        <f>'Backroom - question input'!I6</f>
        <v>Electricity</v>
      </c>
      <c r="D26" s="391"/>
      <c r="E26" s="391"/>
      <c r="F26" s="303"/>
      <c r="G26" s="386"/>
      <c r="H26" s="386"/>
      <c r="I26" s="386"/>
      <c r="J26" s="386"/>
      <c r="K26" s="386"/>
      <c r="L26" s="386"/>
      <c r="M26" s="386"/>
      <c r="N26" s="386"/>
      <c r="O26" s="386"/>
      <c r="P26" s="386"/>
      <c r="Q26" s="386"/>
    </row>
    <row r="27" spans="1:17" ht="33" customHeight="1" x14ac:dyDescent="0.35">
      <c r="A27" s="365"/>
      <c r="C27" s="391" t="str">
        <f>'Backroom - question input'!I7</f>
        <v>Wastewater Infrastructure</v>
      </c>
      <c r="D27" s="391"/>
      <c r="E27" s="391"/>
      <c r="F27" s="303"/>
      <c r="G27" s="386"/>
      <c r="H27" s="386"/>
      <c r="I27" s="386"/>
      <c r="J27" s="386"/>
      <c r="K27" s="386"/>
      <c r="L27" s="386"/>
      <c r="M27" s="386"/>
      <c r="N27" s="386"/>
      <c r="O27" s="386"/>
      <c r="P27" s="386"/>
      <c r="Q27" s="386"/>
    </row>
    <row r="28" spans="1:17" ht="33" customHeight="1" x14ac:dyDescent="0.35">
      <c r="A28" s="365"/>
      <c r="C28" s="391" t="str">
        <f>'Backroom - question input'!I8</f>
        <v>Transportation Assets</v>
      </c>
      <c r="D28" s="391"/>
      <c r="E28" s="391"/>
      <c r="F28" s="303"/>
      <c r="G28" s="386"/>
      <c r="H28" s="386"/>
      <c r="I28" s="386"/>
      <c r="J28" s="386"/>
      <c r="K28" s="386"/>
      <c r="L28" s="386"/>
      <c r="M28" s="386"/>
      <c r="N28" s="386"/>
      <c r="O28" s="386"/>
      <c r="P28" s="386"/>
      <c r="Q28" s="386"/>
    </row>
    <row r="29" spans="1:17" ht="33" customHeight="1" x14ac:dyDescent="0.35">
      <c r="A29" s="365"/>
      <c r="C29" s="391" t="str">
        <f>'Backroom - question input'!I9</f>
        <v>Water Supply</v>
      </c>
      <c r="D29" s="391"/>
      <c r="E29" s="391"/>
      <c r="F29" s="303"/>
      <c r="G29" s="386"/>
      <c r="H29" s="386"/>
      <c r="I29" s="386"/>
      <c r="J29" s="386"/>
      <c r="K29" s="386"/>
      <c r="L29" s="386"/>
      <c r="M29" s="386"/>
      <c r="N29" s="386"/>
      <c r="O29" s="386"/>
      <c r="P29" s="386"/>
      <c r="Q29" s="386"/>
    </row>
    <row r="30" spans="1:17" ht="33" customHeight="1" x14ac:dyDescent="0.35">
      <c r="A30" s="365"/>
      <c r="C30" s="391" t="str">
        <f>'Backroom - question input'!I10</f>
        <v>Stormwater / Flood Management</v>
      </c>
      <c r="D30" s="391"/>
      <c r="E30" s="391"/>
      <c r="F30" s="303"/>
      <c r="G30" s="386"/>
      <c r="H30" s="386"/>
      <c r="I30" s="386"/>
      <c r="J30" s="386"/>
      <c r="K30" s="386"/>
      <c r="L30" s="386"/>
      <c r="M30" s="386"/>
      <c r="N30" s="386"/>
      <c r="O30" s="386"/>
      <c r="P30" s="386"/>
      <c r="Q30" s="386"/>
    </row>
    <row r="31" spans="1:17" ht="33" customHeight="1" x14ac:dyDescent="0.35">
      <c r="A31" s="365"/>
      <c r="C31" s="391" t="str">
        <f>'Backroom - question input'!I11</f>
        <v>Uninhabited Buildings</v>
      </c>
      <c r="D31" s="391"/>
      <c r="E31" s="391"/>
      <c r="F31" s="303"/>
      <c r="G31" s="385"/>
      <c r="H31" s="385"/>
      <c r="I31" s="385"/>
      <c r="J31" s="385"/>
      <c r="K31" s="385"/>
      <c r="L31" s="385"/>
      <c r="M31" s="385"/>
      <c r="N31" s="385"/>
      <c r="O31" s="385"/>
      <c r="P31" s="385"/>
      <c r="Q31" s="385"/>
    </row>
    <row r="32" spans="1:17" ht="33" customHeight="1" x14ac:dyDescent="0.35">
      <c r="A32" s="365"/>
      <c r="C32" s="391" t="str">
        <f>'Backroom - question input'!I12</f>
        <v>Evacuation Structures</v>
      </c>
      <c r="D32" s="391"/>
      <c r="E32" s="391"/>
      <c r="F32" s="303"/>
      <c r="G32" s="386"/>
      <c r="H32" s="386"/>
      <c r="I32" s="386"/>
      <c r="J32" s="386"/>
      <c r="K32" s="386"/>
      <c r="L32" s="386"/>
      <c r="M32" s="386"/>
      <c r="N32" s="386"/>
      <c r="O32" s="386"/>
      <c r="P32" s="386"/>
      <c r="Q32" s="386"/>
    </row>
    <row r="33" spans="1:18" ht="33" customHeight="1" x14ac:dyDescent="0.35">
      <c r="A33" s="365"/>
      <c r="C33" s="476" t="str">
        <f>'Backroom - question input'!I13</f>
        <v>Other / User defined:</v>
      </c>
      <c r="D33" s="476"/>
      <c r="E33" s="476"/>
      <c r="F33" s="303"/>
      <c r="G33" s="386"/>
      <c r="H33" s="386"/>
      <c r="I33" s="386"/>
      <c r="J33" s="386"/>
      <c r="K33" s="386"/>
      <c r="L33" s="386"/>
      <c r="M33" s="386"/>
      <c r="N33" s="386"/>
      <c r="O33" s="390"/>
      <c r="P33" s="386"/>
      <c r="Q33" s="386"/>
      <c r="R33" s="157"/>
    </row>
    <row r="34" spans="1:18" x14ac:dyDescent="0.35">
      <c r="A34" s="365"/>
      <c r="O34" s="50"/>
      <c r="P34" s="22"/>
      <c r="Q34" s="19"/>
    </row>
    <row r="35" spans="1:18" ht="24.65" customHeight="1" x14ac:dyDescent="0.35">
      <c r="A35" s="365" t="str">
        <f>'Backroom - question input'!A16</f>
        <v>1.2c</v>
      </c>
      <c r="B35" s="397" t="str">
        <f>'Backroom - question input'!B16</f>
        <v>Which of the following operations and activities are involved in your industry?</v>
      </c>
      <c r="C35" s="397"/>
      <c r="D35" s="397"/>
      <c r="E35" s="397"/>
      <c r="F35" s="397"/>
      <c r="G35" s="397"/>
      <c r="H35" s="397"/>
      <c r="I35" s="397"/>
      <c r="J35" s="397"/>
      <c r="K35" s="397"/>
      <c r="L35" s="397"/>
      <c r="M35" s="397"/>
      <c r="N35" s="397"/>
      <c r="O35" s="397"/>
      <c r="P35" s="397"/>
      <c r="Q35" s="437"/>
    </row>
    <row r="36" spans="1:18" x14ac:dyDescent="0.35">
      <c r="A36" s="365"/>
      <c r="F36" s="198" t="str">
        <f>'Backroom - question input'!F16</f>
        <v>Yes/No</v>
      </c>
      <c r="G36" s="389" t="str">
        <f>'Backroom - question input'!B17</f>
        <v>Please add any commentary on your answers here:</v>
      </c>
      <c r="H36" s="389"/>
      <c r="I36" s="389"/>
      <c r="J36" s="389"/>
      <c r="K36" s="389"/>
      <c r="L36" s="389"/>
      <c r="M36" s="389"/>
      <c r="N36" s="389"/>
      <c r="O36" s="389"/>
      <c r="P36" s="22"/>
      <c r="Q36" s="19"/>
    </row>
    <row r="37" spans="1:18" ht="33" customHeight="1" x14ac:dyDescent="0.35">
      <c r="A37" s="365"/>
      <c r="B37" s="383" t="str">
        <f>'Backroom - question input'!K2</f>
        <v>Outdoor Land Activities</v>
      </c>
      <c r="C37" s="383"/>
      <c r="D37" s="383"/>
      <c r="E37" s="383"/>
      <c r="F37" s="303"/>
      <c r="G37" s="386"/>
      <c r="H37" s="386"/>
      <c r="I37" s="386"/>
      <c r="J37" s="386"/>
      <c r="K37" s="386"/>
      <c r="L37" s="386"/>
      <c r="M37" s="386"/>
      <c r="N37" s="386"/>
      <c r="O37" s="386"/>
      <c r="P37" s="386"/>
      <c r="Q37" s="386"/>
      <c r="R37" s="157"/>
    </row>
    <row r="38" spans="1:18" ht="33" customHeight="1" x14ac:dyDescent="0.35">
      <c r="A38" s="365"/>
      <c r="B38" s="383" t="str">
        <f>'Backroom - question input'!K3</f>
        <v>Outdoor Marine Activities</v>
      </c>
      <c r="C38" s="383"/>
      <c r="D38" s="383"/>
      <c r="E38" s="383"/>
      <c r="F38" s="303"/>
      <c r="G38" s="386"/>
      <c r="H38" s="386"/>
      <c r="I38" s="386"/>
      <c r="J38" s="386"/>
      <c r="K38" s="386"/>
      <c r="L38" s="386"/>
      <c r="M38" s="386"/>
      <c r="N38" s="386"/>
      <c r="O38" s="386"/>
      <c r="P38" s="386"/>
      <c r="Q38" s="386"/>
    </row>
    <row r="39" spans="1:18" ht="33" customHeight="1" x14ac:dyDescent="0.35">
      <c r="A39" s="365"/>
      <c r="B39" s="383" t="str">
        <f>'Backroom - question input'!K4</f>
        <v>Outdoor Freshwater Activities</v>
      </c>
      <c r="C39" s="383"/>
      <c r="D39" s="383"/>
      <c r="E39" s="383"/>
      <c r="F39" s="303"/>
      <c r="G39" s="386"/>
      <c r="H39" s="386"/>
      <c r="I39" s="386"/>
      <c r="J39" s="386"/>
      <c r="K39" s="386"/>
      <c r="L39" s="386"/>
      <c r="M39" s="386"/>
      <c r="N39" s="386"/>
      <c r="O39" s="386"/>
      <c r="P39" s="386"/>
      <c r="Q39" s="386"/>
    </row>
    <row r="40" spans="1:18" ht="33" customHeight="1" x14ac:dyDescent="0.35">
      <c r="A40" s="365"/>
      <c r="B40" s="383" t="str">
        <f>'Backroom - question input'!K5</f>
        <v>Outdoor Coastal Activities</v>
      </c>
      <c r="C40" s="383"/>
      <c r="D40" s="383"/>
      <c r="E40" s="383"/>
      <c r="F40" s="303"/>
      <c r="G40" s="386"/>
      <c r="H40" s="386"/>
      <c r="I40" s="386"/>
      <c r="J40" s="386"/>
      <c r="K40" s="386"/>
      <c r="L40" s="386"/>
      <c r="M40" s="386"/>
      <c r="N40" s="386"/>
      <c r="O40" s="386"/>
      <c r="P40" s="386"/>
      <c r="Q40" s="386"/>
    </row>
    <row r="41" spans="1:18" ht="33" customHeight="1" x14ac:dyDescent="0.35">
      <c r="A41" s="365"/>
      <c r="B41" s="383" t="str">
        <f>'Backroom - question input'!K6</f>
        <v>Land Transportation Activities</v>
      </c>
      <c r="C41" s="383"/>
      <c r="D41" s="383"/>
      <c r="E41" s="383"/>
      <c r="F41" s="303"/>
      <c r="G41" s="386"/>
      <c r="H41" s="386"/>
      <c r="I41" s="386"/>
      <c r="J41" s="386"/>
      <c r="K41" s="386"/>
      <c r="L41" s="386"/>
      <c r="M41" s="386"/>
      <c r="N41" s="386"/>
      <c r="O41" s="386"/>
      <c r="P41" s="386"/>
      <c r="Q41" s="386"/>
    </row>
    <row r="42" spans="1:18" ht="33" customHeight="1" x14ac:dyDescent="0.35">
      <c r="A42" s="365"/>
      <c r="B42" s="383" t="str">
        <f>'Backroom - question input'!K7</f>
        <v>Water Transportation Activities</v>
      </c>
      <c r="C42" s="383"/>
      <c r="D42" s="383"/>
      <c r="E42" s="383"/>
      <c r="F42" s="303"/>
      <c r="G42" s="386"/>
      <c r="H42" s="386"/>
      <c r="I42" s="386"/>
      <c r="J42" s="386"/>
      <c r="K42" s="386"/>
      <c r="L42" s="386"/>
      <c r="M42" s="386"/>
      <c r="N42" s="386"/>
      <c r="O42" s="386"/>
      <c r="P42" s="386"/>
      <c r="Q42" s="386"/>
    </row>
    <row r="43" spans="1:18" ht="33" customHeight="1" x14ac:dyDescent="0.35">
      <c r="A43" s="365"/>
      <c r="B43" s="383" t="str">
        <f>'Backroom - question input'!K8</f>
        <v>Office / Shop / Admin Activities</v>
      </c>
      <c r="C43" s="383"/>
      <c r="D43" s="383"/>
      <c r="E43" s="383"/>
      <c r="F43" s="303"/>
      <c r="G43" s="386"/>
      <c r="H43" s="386"/>
      <c r="I43" s="386"/>
      <c r="J43" s="386"/>
      <c r="K43" s="386"/>
      <c r="L43" s="386"/>
      <c r="M43" s="386"/>
      <c r="N43" s="386"/>
      <c r="O43" s="386"/>
      <c r="P43" s="386"/>
      <c r="Q43" s="386"/>
    </row>
    <row r="44" spans="1:18" ht="33" customHeight="1" x14ac:dyDescent="0.35">
      <c r="A44" s="365"/>
      <c r="B44" s="383" t="str">
        <f>'Backroom - question input'!K9</f>
        <v>Goods Supply Activities</v>
      </c>
      <c r="C44" s="383"/>
      <c r="D44" s="383"/>
      <c r="E44" s="383"/>
      <c r="F44" s="303"/>
      <c r="G44" s="386"/>
      <c r="H44" s="386"/>
      <c r="I44" s="386"/>
      <c r="J44" s="386"/>
      <c r="K44" s="386"/>
      <c r="L44" s="386"/>
      <c r="M44" s="386"/>
      <c r="N44" s="386"/>
      <c r="O44" s="386"/>
      <c r="P44" s="386"/>
      <c r="Q44" s="386"/>
    </row>
    <row r="45" spans="1:18" ht="33" customHeight="1" x14ac:dyDescent="0.35">
      <c r="A45" s="365"/>
      <c r="B45" s="383" t="str">
        <f>'Backroom - question input'!K10</f>
        <v>Construction Activities</v>
      </c>
      <c r="C45" s="383"/>
      <c r="D45" s="383"/>
      <c r="E45" s="383"/>
      <c r="F45" s="303"/>
      <c r="G45" s="386"/>
      <c r="H45" s="386"/>
      <c r="I45" s="386"/>
      <c r="J45" s="386"/>
      <c r="K45" s="386"/>
      <c r="L45" s="386"/>
      <c r="M45" s="386"/>
      <c r="N45" s="386"/>
      <c r="O45" s="386"/>
      <c r="P45" s="386"/>
      <c r="Q45" s="386"/>
    </row>
    <row r="46" spans="1:18" ht="17.399999999999999" customHeight="1" x14ac:dyDescent="0.35">
      <c r="A46" s="365"/>
      <c r="B46" s="143"/>
      <c r="C46" s="145"/>
      <c r="E46" s="145"/>
      <c r="F46" s="145"/>
      <c r="J46" s="145"/>
      <c r="K46" s="145"/>
      <c r="L46" s="145"/>
      <c r="M46" s="150"/>
      <c r="N46" s="150"/>
      <c r="Q46" s="19"/>
    </row>
    <row r="47" spans="1:18" ht="17.399999999999999" customHeight="1" x14ac:dyDescent="0.35">
      <c r="A47" s="365"/>
      <c r="B47" s="497" t="str">
        <f>'Backroom - question input'!B18</f>
        <v>The above exercise has identified the following elements relevant to your industry:</v>
      </c>
      <c r="C47" s="497"/>
      <c r="D47" s="497"/>
      <c r="E47" s="497"/>
      <c r="F47" s="497"/>
      <c r="G47" s="497"/>
      <c r="H47" s="497"/>
      <c r="I47" s="497"/>
      <c r="J47" s="497"/>
      <c r="K47" s="497"/>
      <c r="L47" s="497"/>
      <c r="M47" s="497"/>
      <c r="N47" s="497"/>
      <c r="O47" s="497"/>
      <c r="P47" s="497"/>
      <c r="Q47" s="498"/>
    </row>
    <row r="48" spans="1:18" ht="17.399999999999999" customHeight="1" x14ac:dyDescent="0.35">
      <c r="A48" s="365"/>
      <c r="B48" s="387" t="str">
        <f>'Backroom - question input'!G1</f>
        <v>Natural Features</v>
      </c>
      <c r="C48" s="387"/>
      <c r="D48" s="482" t="str">
        <f>'Backroom - question input'!I1</f>
        <v>Built Features</v>
      </c>
      <c r="E48" s="482"/>
      <c r="F48" s="482"/>
      <c r="G48" s="482"/>
      <c r="H48" s="482"/>
      <c r="I48" s="482"/>
      <c r="J48" s="482"/>
      <c r="K48" s="482"/>
      <c r="L48" s="482" t="str">
        <f>'Backroom - question input'!K1</f>
        <v>Operations</v>
      </c>
      <c r="M48" s="482"/>
      <c r="N48" s="482"/>
      <c r="O48" s="482"/>
      <c r="P48" s="482"/>
      <c r="Q48" s="496"/>
    </row>
    <row r="49" spans="1:18" ht="112.5" customHeight="1" x14ac:dyDescent="0.35">
      <c r="A49" s="365"/>
      <c r="B49" s="483" t="str">
        <f>'Backroom - question input'!G18</f>
        <v>No natural feature reliance was identified.</v>
      </c>
      <c r="C49" s="483"/>
      <c r="D49" s="480" t="str">
        <f>'Backroom - question input'!H18</f>
        <v>No built feature reliance was identified.</v>
      </c>
      <c r="E49" s="480"/>
      <c r="F49" s="480"/>
      <c r="G49" s="480"/>
      <c r="H49" s="480"/>
      <c r="I49" s="480"/>
      <c r="J49" s="480"/>
      <c r="K49" s="480"/>
      <c r="L49" s="480" t="str">
        <f>'Backroom - question input'!I18</f>
        <v>No operations or activities were identified.</v>
      </c>
      <c r="M49" s="480"/>
      <c r="N49" s="480"/>
      <c r="O49" s="480"/>
      <c r="P49" s="480"/>
      <c r="Q49" s="481"/>
    </row>
    <row r="50" spans="1:18" ht="17.399999999999999" customHeight="1" x14ac:dyDescent="0.35">
      <c r="A50" s="365"/>
      <c r="B50" s="499" t="str">
        <f>'Backroom - question input'!J20</f>
        <v>If there are other elements not identified here, please review your above responses.</v>
      </c>
      <c r="C50" s="499"/>
      <c r="D50" s="499"/>
      <c r="E50" s="499"/>
      <c r="F50" s="499"/>
      <c r="G50" s="499"/>
      <c r="H50" s="499"/>
      <c r="I50" s="499"/>
      <c r="J50" s="499"/>
      <c r="K50" s="499"/>
      <c r="L50" s="499"/>
      <c r="M50" s="499"/>
      <c r="N50" s="499"/>
      <c r="O50" s="499"/>
      <c r="P50" s="499"/>
      <c r="Q50" s="500"/>
    </row>
    <row r="51" spans="1:18" ht="17.399999999999999" customHeight="1" x14ac:dyDescent="0.35">
      <c r="A51" s="365"/>
      <c r="B51" s="143"/>
      <c r="C51" s="145"/>
      <c r="E51" s="145"/>
      <c r="F51" s="145"/>
      <c r="J51" s="145"/>
      <c r="K51" s="145"/>
      <c r="L51" s="145"/>
      <c r="M51" s="150"/>
      <c r="N51" s="150"/>
      <c r="Q51" s="19"/>
    </row>
    <row r="52" spans="1:18" ht="39.9" customHeight="1" x14ac:dyDescent="0.35">
      <c r="A52" s="365"/>
      <c r="B52" s="433" t="str">
        <f>'Backroom - question input'!B22</f>
        <v>2. Exposure</v>
      </c>
      <c r="C52" s="433"/>
      <c r="D52" s="433"/>
      <c r="E52" s="433"/>
      <c r="F52" s="433"/>
      <c r="G52" s="433"/>
      <c r="H52" s="433"/>
      <c r="I52" s="433"/>
      <c r="J52" s="433"/>
      <c r="K52" s="433"/>
      <c r="L52" s="433"/>
      <c r="M52" s="433"/>
      <c r="N52" s="433"/>
      <c r="O52" s="433"/>
      <c r="P52" s="433"/>
      <c r="Q52" s="484"/>
    </row>
    <row r="53" spans="1:18" ht="98.4" customHeight="1" x14ac:dyDescent="0.35">
      <c r="A53" s="365"/>
      <c r="B53" s="445" t="str">
        <f>'Backroom - question input'!C22</f>
        <v xml:space="preserve">As set out in the equation to the right, climate risk is a result of hazard, exposure and vulnerability. The climate hazards being assessed through this framework are coastal inundation, extreme rainfall, tropical cyclone, drought, marine heat waves, ocean acidification and extreme temperature. This section assesses the exposure to these hazards. </v>
      </c>
      <c r="C53" s="446"/>
      <c r="D53" s="446"/>
      <c r="E53" s="446"/>
      <c r="F53" s="446"/>
      <c r="G53" s="446"/>
      <c r="J53" s="145"/>
      <c r="K53" s="145"/>
      <c r="L53" s="145"/>
      <c r="M53" s="150"/>
      <c r="N53" s="150"/>
      <c r="Q53" s="19"/>
    </row>
    <row r="54" spans="1:18" ht="24.65" customHeight="1" x14ac:dyDescent="0.35">
      <c r="A54" s="365">
        <f>'Backroom - question input'!A23</f>
        <v>2.1</v>
      </c>
      <c r="B54" s="397" t="str">
        <f>'Backroom - question input'!B23</f>
        <v xml:space="preserve">What climate hazards have impacted your industry in the past? </v>
      </c>
      <c r="C54" s="398"/>
      <c r="D54" s="398"/>
      <c r="E54" s="398"/>
      <c r="F54" s="398"/>
      <c r="G54" s="398"/>
      <c r="H54" s="398"/>
      <c r="I54" s="398"/>
      <c r="J54" s="398"/>
      <c r="K54" s="398"/>
      <c r="L54" s="398"/>
      <c r="M54" s="398"/>
      <c r="N54" s="398"/>
      <c r="O54" s="395" t="str">
        <f>'Backroom - question input'!D23</f>
        <v>Glossary of terms</v>
      </c>
      <c r="P54" s="395"/>
      <c r="Q54" s="396"/>
      <c r="R54" s="155"/>
    </row>
    <row r="55" spans="1:18" ht="60" customHeight="1" x14ac:dyDescent="0.35">
      <c r="A55" s="365"/>
      <c r="B55" s="393"/>
      <c r="C55" s="394"/>
      <c r="D55" s="403" t="str">
        <f>'Backroom - question input'!D82</f>
        <v>Coastal Inundation</v>
      </c>
      <c r="E55" s="403"/>
      <c r="F55" s="403" t="str">
        <f>'Backroom - question input'!F82</f>
        <v>Extreme Rainfall</v>
      </c>
      <c r="G55" s="403"/>
      <c r="H55" s="403" t="str">
        <f>'Backroom - question input'!H82</f>
        <v>Tropical Cyclone</v>
      </c>
      <c r="I55" s="403"/>
      <c r="J55" s="403" t="str">
        <f>'Backroom - question input'!J82</f>
        <v>Drought</v>
      </c>
      <c r="K55" s="403"/>
      <c r="L55" s="403" t="str">
        <f>'Backroom - question input'!L82</f>
        <v>Marine Heat Waves</v>
      </c>
      <c r="M55" s="403"/>
      <c r="N55" s="403" t="str">
        <f>'Backroom - question input'!N82</f>
        <v>Ocean Acidification</v>
      </c>
      <c r="O55" s="410"/>
      <c r="P55" s="410" t="str">
        <f>'Backroom - question input'!P82</f>
        <v>Extreme Temperature</v>
      </c>
      <c r="Q55" s="410"/>
      <c r="R55" s="156"/>
    </row>
    <row r="56" spans="1:18" ht="45.65" customHeight="1" x14ac:dyDescent="0.35">
      <c r="A56" s="365"/>
      <c r="B56" s="384" t="str">
        <f>'Backroom - question input'!C23</f>
        <v>Select 'Yes' to all that are relevant</v>
      </c>
      <c r="C56" s="384"/>
      <c r="D56" s="402"/>
      <c r="E56" s="402"/>
      <c r="F56" s="402"/>
      <c r="G56" s="402"/>
      <c r="H56" s="402"/>
      <c r="I56" s="402"/>
      <c r="J56" s="402"/>
      <c r="K56" s="402"/>
      <c r="L56" s="402"/>
      <c r="M56" s="402"/>
      <c r="N56" s="402"/>
      <c r="O56" s="402"/>
      <c r="P56" s="402"/>
      <c r="Q56" s="402"/>
      <c r="R56" s="155"/>
    </row>
    <row r="57" spans="1:18" ht="58.5" customHeight="1" x14ac:dyDescent="0.35">
      <c r="A57" s="365">
        <f>'Backroom - question input'!A24</f>
        <v>2.2000000000000002</v>
      </c>
      <c r="B57" s="384" t="str">
        <f>'Backroom - question input'!C25</f>
        <v/>
      </c>
      <c r="C57" s="384"/>
      <c r="D57" s="385"/>
      <c r="E57" s="386"/>
      <c r="F57" s="386"/>
      <c r="G57" s="386"/>
      <c r="H57" s="386"/>
      <c r="I57" s="386"/>
      <c r="J57" s="386"/>
      <c r="K57" s="386"/>
      <c r="L57" s="386"/>
      <c r="M57" s="386"/>
      <c r="N57" s="386"/>
      <c r="O57" s="386"/>
      <c r="P57" s="386"/>
      <c r="Q57" s="386"/>
      <c r="R57" s="155"/>
    </row>
    <row r="58" spans="1:18" ht="21.65" customHeight="1" x14ac:dyDescent="0.35">
      <c r="A58" s="365"/>
      <c r="B58" s="184"/>
      <c r="C58" s="146"/>
      <c r="D58" s="146"/>
      <c r="E58" s="146"/>
      <c r="F58" s="31"/>
      <c r="G58" s="31"/>
      <c r="H58" s="31"/>
      <c r="I58" s="31"/>
      <c r="J58" s="31"/>
      <c r="K58" s="31"/>
      <c r="L58" s="31"/>
      <c r="M58" s="31"/>
      <c r="N58" s="31"/>
      <c r="O58" s="173"/>
      <c r="P58" s="86"/>
      <c r="Q58" s="19"/>
      <c r="R58" s="155"/>
    </row>
    <row r="59" spans="1:18" ht="21.65" customHeight="1" x14ac:dyDescent="0.35">
      <c r="A59" s="365"/>
      <c r="B59" s="397" t="str">
        <f>'Backroom - question input'!B27</f>
        <v>Interactions with climate hazards</v>
      </c>
      <c r="C59" s="398"/>
      <c r="D59" s="398"/>
      <c r="E59" s="398"/>
      <c r="F59" s="398"/>
      <c r="G59" s="398"/>
      <c r="H59" s="398"/>
      <c r="I59" s="398"/>
      <c r="J59" s="398"/>
      <c r="K59" s="398"/>
      <c r="L59" s="398"/>
      <c r="M59" s="398"/>
      <c r="N59" s="398"/>
      <c r="O59" s="398"/>
      <c r="P59" s="398"/>
      <c r="Q59" s="411"/>
      <c r="R59" s="155"/>
    </row>
    <row r="60" spans="1:18" ht="21.65" customHeight="1" x14ac:dyDescent="0.35">
      <c r="A60" s="365"/>
      <c r="F60" s="198"/>
      <c r="G60" s="151"/>
      <c r="H60" s="154" t="str">
        <f>'Backroom - question input'!G24</f>
        <v>Yes/No</v>
      </c>
      <c r="I60" s="151" t="str">
        <f>'Backroom - question input'!C27</f>
        <v>If yes, please add details on the areas relevant to your industry:</v>
      </c>
      <c r="L60" s="151"/>
      <c r="M60" s="151"/>
      <c r="N60" s="151"/>
      <c r="O60" s="172"/>
      <c r="P60" s="22"/>
      <c r="Q60" s="19"/>
      <c r="R60" s="155"/>
    </row>
    <row r="61" spans="1:18" ht="30" customHeight="1" x14ac:dyDescent="0.35">
      <c r="A61" s="365">
        <f>'Backroom - question input'!A28</f>
        <v>2.2999999999999998</v>
      </c>
      <c r="B61" s="478" t="str">
        <f>'Backroom - question input'!B28</f>
        <v>Does your industry have / use elements located within 100m of the coastline?</v>
      </c>
      <c r="C61" s="476"/>
      <c r="D61" s="476"/>
      <c r="E61" s="476"/>
      <c r="F61" s="476"/>
      <c r="G61" s="479"/>
      <c r="H61" s="303"/>
      <c r="I61" s="477"/>
      <c r="J61" s="408"/>
      <c r="K61" s="408"/>
      <c r="L61" s="408"/>
      <c r="M61" s="408"/>
      <c r="N61" s="408"/>
      <c r="O61" s="455"/>
      <c r="P61" s="408"/>
      <c r="Q61" s="409"/>
      <c r="R61" s="155"/>
    </row>
    <row r="62" spans="1:18" ht="35.4" customHeight="1" x14ac:dyDescent="0.35">
      <c r="A62" s="365">
        <f>'Backroom - question input'!A29</f>
        <v>2.4</v>
      </c>
      <c r="B62" s="404" t="str">
        <f>'Backroom - question input'!B29</f>
        <v>Does your industry have / use elements located at less than 10m elevation above the sea level?</v>
      </c>
      <c r="C62" s="405"/>
      <c r="D62" s="405"/>
      <c r="E62" s="405"/>
      <c r="F62" s="405"/>
      <c r="G62" s="406"/>
      <c r="H62" s="303"/>
      <c r="I62" s="407"/>
      <c r="J62" s="408"/>
      <c r="K62" s="408"/>
      <c r="L62" s="408"/>
      <c r="M62" s="408"/>
      <c r="N62" s="408"/>
      <c r="O62" s="408"/>
      <c r="P62" s="408"/>
      <c r="Q62" s="409"/>
      <c r="R62" s="155"/>
    </row>
    <row r="63" spans="1:18" ht="51.65" customHeight="1" x14ac:dyDescent="0.35">
      <c r="A63" s="365">
        <f>'Backroom - question input'!A30</f>
        <v>2.5</v>
      </c>
      <c r="B63" s="404" t="str">
        <f>'Backroom - question input'!B30</f>
        <v>Does your industry have / use elements that can be impacted by (or rely on) ocean conditions? (i.e. Ocean acidification and marine heatwaves affecting reefs and fish stock)</v>
      </c>
      <c r="C63" s="405"/>
      <c r="D63" s="405"/>
      <c r="E63" s="405"/>
      <c r="F63" s="405"/>
      <c r="G63" s="406"/>
      <c r="H63" s="303"/>
      <c r="I63" s="407"/>
      <c r="J63" s="408"/>
      <c r="K63" s="408"/>
      <c r="L63" s="408"/>
      <c r="M63" s="408"/>
      <c r="N63" s="408"/>
      <c r="O63" s="408"/>
      <c r="P63" s="408"/>
      <c r="Q63" s="409"/>
      <c r="R63" s="155"/>
    </row>
    <row r="64" spans="1:18" ht="61.5" customHeight="1" x14ac:dyDescent="0.35">
      <c r="A64" s="365">
        <f>'Backroom - question input'!A31</f>
        <v>2.6</v>
      </c>
      <c r="B64" s="404" t="str">
        <f>'Backroom - question input'!B31</f>
        <v>Does your industry have / use elements that critically rely on a natural water supply from a river, groundwater or rain-harvesting? (i.e. rainfall on crops, water intake at stream for drinking water)</v>
      </c>
      <c r="C64" s="405"/>
      <c r="D64" s="405"/>
      <c r="E64" s="405"/>
      <c r="F64" s="405"/>
      <c r="G64" s="406"/>
      <c r="H64" s="303"/>
      <c r="I64" s="407"/>
      <c r="J64" s="408"/>
      <c r="K64" s="408"/>
      <c r="L64" s="408"/>
      <c r="M64" s="408"/>
      <c r="N64" s="408"/>
      <c r="O64" s="408"/>
      <c r="P64" s="408"/>
      <c r="Q64" s="409"/>
      <c r="R64" s="155"/>
    </row>
    <row r="65" spans="1:18" ht="41.4" customHeight="1" x14ac:dyDescent="0.35">
      <c r="A65" s="365">
        <f>'Backroom - question input'!A32</f>
        <v>2.7</v>
      </c>
      <c r="B65" s="404" t="str">
        <f>'Backroom - question input'!B32</f>
        <v>Does your industry have / use elements that are located near a river, stream, or lake that has a history of flooding?</v>
      </c>
      <c r="C65" s="405"/>
      <c r="D65" s="405"/>
      <c r="E65" s="405"/>
      <c r="F65" s="405"/>
      <c r="G65" s="406"/>
      <c r="H65" s="303"/>
      <c r="I65" s="407"/>
      <c r="J65" s="408"/>
      <c r="K65" s="408"/>
      <c r="L65" s="408"/>
      <c r="M65" s="408"/>
      <c r="N65" s="408"/>
      <c r="O65" s="408"/>
      <c r="P65" s="408"/>
      <c r="Q65" s="409"/>
      <c r="R65" s="155"/>
    </row>
    <row r="66" spans="1:18" ht="38.4" customHeight="1" x14ac:dyDescent="0.35">
      <c r="A66" s="365">
        <f>'Backroom - question input'!A33</f>
        <v>2.8</v>
      </c>
      <c r="B66" s="404" t="str">
        <f>'Backroom - question input'!B33</f>
        <v xml:space="preserve">Do high temperatures significantly impact the effectiveness or safety of work activities, ecosystems, agircultural productivity or sites / assets in your industry? </v>
      </c>
      <c r="C66" s="405"/>
      <c r="D66" s="405"/>
      <c r="E66" s="405"/>
      <c r="F66" s="405"/>
      <c r="G66" s="406"/>
      <c r="H66" s="303"/>
      <c r="I66" s="407"/>
      <c r="J66" s="408"/>
      <c r="K66" s="408"/>
      <c r="L66" s="408"/>
      <c r="M66" s="408"/>
      <c r="N66" s="408"/>
      <c r="O66" s="408"/>
      <c r="P66" s="408"/>
      <c r="Q66" s="409"/>
      <c r="R66" s="155"/>
    </row>
    <row r="67" spans="1:18" ht="21.65" customHeight="1" x14ac:dyDescent="0.35">
      <c r="A67" s="365"/>
      <c r="B67" s="184"/>
      <c r="C67" s="146"/>
      <c r="D67" s="146"/>
      <c r="E67" s="146"/>
      <c r="F67" s="31"/>
      <c r="G67" s="31"/>
      <c r="H67" s="31"/>
      <c r="I67" s="31"/>
      <c r="K67" s="480"/>
      <c r="L67" s="480"/>
      <c r="M67" s="480"/>
      <c r="N67" s="480"/>
      <c r="O67" s="480"/>
      <c r="P67" s="480"/>
      <c r="Q67" s="481"/>
      <c r="R67" s="155"/>
    </row>
    <row r="68" spans="1:18" ht="21.65" customHeight="1" x14ac:dyDescent="0.35">
      <c r="A68" s="365"/>
      <c r="B68" s="397" t="str">
        <f>'Backroom - question input'!B34</f>
        <v>Exposure of elements</v>
      </c>
      <c r="C68" s="398"/>
      <c r="D68" s="398"/>
      <c r="E68" s="398"/>
      <c r="F68" s="398"/>
      <c r="G68" s="398"/>
      <c r="H68" s="398"/>
      <c r="I68" s="398"/>
      <c r="J68" s="398"/>
      <c r="K68" s="398"/>
      <c r="L68" s="398"/>
      <c r="M68" s="398"/>
      <c r="N68" s="398"/>
      <c r="O68" s="398"/>
      <c r="P68" s="398"/>
      <c r="Q68" s="411"/>
      <c r="R68" s="155"/>
    </row>
    <row r="69" spans="1:18" ht="48" customHeight="1" x14ac:dyDescent="0.35">
      <c r="A69" s="365"/>
      <c r="B69" s="399" t="str">
        <f>'Backroom - question input'!B35</f>
        <v xml:space="preserve">Based on the answers above, it appears your industry has elements potentially exposed to the following climate hazards: Tropical Cyclone.  Please review your answers above if this does not reflect your understanding. </v>
      </c>
      <c r="C69" s="400"/>
      <c r="D69" s="400"/>
      <c r="E69" s="400"/>
      <c r="F69" s="400"/>
      <c r="G69" s="400"/>
      <c r="H69" s="400"/>
      <c r="I69" s="400"/>
      <c r="J69" s="400"/>
      <c r="K69" s="400"/>
      <c r="L69" s="400"/>
      <c r="M69" s="400"/>
      <c r="N69" s="400"/>
      <c r="O69" s="400"/>
      <c r="P69" s="400"/>
      <c r="Q69" s="401"/>
      <c r="R69" s="155"/>
    </row>
    <row r="70" spans="1:18" ht="109.5" customHeight="1" x14ac:dyDescent="0.35">
      <c r="A70" s="365"/>
      <c r="B70" s="493" t="str">
        <f>'Backroom - question input'!B36</f>
        <v>Exposure is the degree to which an industry is affected by climate hazards. Exposure depends on how much of the industry's features, such as land, assets, population, and systems, are located in areas that are exposed to these hazards.
One way to measure exposure is to compare the location and characteristics of the industry's features with the spatial and temporal distribution of the climate hazards. For example, if an industry has a lot of infrastructure near the coast it would have a high exposure to coastal inundation, especially if the infrastructure is low-lying and close to the shoreline (within 100m and less than 10m elevation). On the other hand, if an industry has most of its infrastructure inland and at higher elevations, it would have a low exposure to coastal inundation.
The following table provides definitions for 'exposure' ratings that are used in the next exercise.</v>
      </c>
      <c r="C70" s="494"/>
      <c r="D70" s="494"/>
      <c r="E70" s="494"/>
      <c r="F70" s="494"/>
      <c r="G70" s="494"/>
      <c r="H70" s="494"/>
      <c r="I70" s="494"/>
      <c r="J70" s="494"/>
      <c r="K70" s="494"/>
      <c r="L70" s="494"/>
      <c r="M70" s="494"/>
      <c r="N70" s="494"/>
      <c r="O70" s="494"/>
      <c r="P70" s="494"/>
      <c r="Q70" s="495"/>
      <c r="R70" s="155"/>
    </row>
    <row r="71" spans="1:18" ht="25.5" customHeight="1" x14ac:dyDescent="0.35">
      <c r="A71" s="365"/>
      <c r="Q71" s="19"/>
      <c r="R71" s="155"/>
    </row>
    <row r="72" spans="1:18" ht="21.9" customHeight="1" x14ac:dyDescent="0.35">
      <c r="A72" s="365"/>
      <c r="B72" s="165"/>
      <c r="C72" s="280" t="str">
        <f>'Backroom - question input'!H33</f>
        <v>Exposure rating</v>
      </c>
      <c r="D72" s="501" t="str">
        <f>'Backroom - question input'!I33</f>
        <v>Definition</v>
      </c>
      <c r="E72" s="501"/>
      <c r="F72" s="501"/>
      <c r="G72" s="501"/>
      <c r="H72" s="501"/>
      <c r="I72" s="501"/>
      <c r="J72" s="501"/>
      <c r="K72" s="501"/>
      <c r="L72" s="501"/>
      <c r="M72" s="501"/>
      <c r="N72" s="501"/>
      <c r="O72" s="307"/>
      <c r="P72" s="307"/>
      <c r="Q72" s="194"/>
      <c r="R72" s="155"/>
    </row>
    <row r="73" spans="1:18" ht="35.15" customHeight="1" x14ac:dyDescent="0.35">
      <c r="A73" s="365"/>
      <c r="B73" s="165"/>
      <c r="C73" s="168" t="str">
        <f>'Backroom - question input'!H34</f>
        <v>E (Extreme)</v>
      </c>
      <c r="D73" s="392" t="str">
        <f>'Backroom - question input'!I34</f>
        <v>Significant and widespread exposure of elements to the hazard e.g. &gt;75% of element/asset is exposed to the hazard</v>
      </c>
      <c r="E73" s="392"/>
      <c r="F73" s="392"/>
      <c r="G73" s="392"/>
      <c r="H73" s="392"/>
      <c r="I73" s="392"/>
      <c r="J73" s="392"/>
      <c r="K73" s="392"/>
      <c r="L73" s="392"/>
      <c r="M73" s="392"/>
      <c r="N73" s="392"/>
      <c r="O73" s="153"/>
      <c r="P73" s="153"/>
      <c r="Q73" s="195"/>
      <c r="R73" s="155"/>
    </row>
    <row r="74" spans="1:18" ht="35.15" customHeight="1" x14ac:dyDescent="0.35">
      <c r="A74" s="365"/>
      <c r="B74" s="165"/>
      <c r="C74" s="169" t="str">
        <f>'Backroom - question input'!H35</f>
        <v>H (High)</v>
      </c>
      <c r="D74" s="392" t="str">
        <f>'Backroom - question input'!I35</f>
        <v>High exposure of elements to the hazard e.g. 50-75% of element/asset is exposed to the hazard</v>
      </c>
      <c r="E74" s="392"/>
      <c r="F74" s="392"/>
      <c r="G74" s="392"/>
      <c r="H74" s="392"/>
      <c r="I74" s="392"/>
      <c r="J74" s="392"/>
      <c r="K74" s="392"/>
      <c r="L74" s="392"/>
      <c r="M74" s="392"/>
      <c r="N74" s="392"/>
      <c r="O74" s="153"/>
      <c r="P74" s="153"/>
      <c r="Q74" s="195"/>
      <c r="R74" s="155"/>
    </row>
    <row r="75" spans="1:18" ht="35.15" customHeight="1" x14ac:dyDescent="0.35">
      <c r="A75" s="365"/>
      <c r="B75" s="165"/>
      <c r="C75" s="170" t="str">
        <f>'Backroom - question input'!H36</f>
        <v>M (Moderate)</v>
      </c>
      <c r="D75" s="392" t="str">
        <f>'Backroom - question input'!I36</f>
        <v>Moderate exposure of elements to the hazard e.g. 25-50% of element/asset is exposed to the hazard</v>
      </c>
      <c r="E75" s="392"/>
      <c r="F75" s="392"/>
      <c r="G75" s="392"/>
      <c r="H75" s="392"/>
      <c r="I75" s="392"/>
      <c r="J75" s="392"/>
      <c r="K75" s="392"/>
      <c r="L75" s="392"/>
      <c r="M75" s="392"/>
      <c r="N75" s="392"/>
      <c r="O75" s="153"/>
      <c r="P75" s="153"/>
      <c r="Q75" s="195"/>
      <c r="R75" s="155"/>
    </row>
    <row r="76" spans="1:18" ht="35.15" customHeight="1" x14ac:dyDescent="0.35">
      <c r="A76" s="365"/>
      <c r="B76" s="165"/>
      <c r="C76" s="171" t="str">
        <f>'Backroom - question input'!H37</f>
        <v>L (Low)</v>
      </c>
      <c r="D76" s="392" t="str">
        <f>'Backroom - question input'!I37</f>
        <v>Isolated elements are exposed to the hazard e.g. 5-25% of element/asset is exposed to the hazard</v>
      </c>
      <c r="E76" s="392"/>
      <c r="F76" s="392"/>
      <c r="G76" s="392"/>
      <c r="H76" s="392"/>
      <c r="I76" s="392"/>
      <c r="J76" s="392"/>
      <c r="K76" s="392"/>
      <c r="L76" s="392"/>
      <c r="M76" s="392"/>
      <c r="N76" s="392"/>
      <c r="O76" s="153"/>
      <c r="P76" s="153"/>
      <c r="Q76" s="195"/>
      <c r="R76" s="155"/>
    </row>
    <row r="77" spans="1:18" ht="35.15" customHeight="1" x14ac:dyDescent="0.35">
      <c r="A77" s="365"/>
      <c r="B77" s="165"/>
      <c r="C77" s="167" t="str">
        <f>'Backroom - question input'!H38</f>
        <v>N/A (Not Applicable)</v>
      </c>
      <c r="D77" s="392" t="str">
        <f>'Backroom - question input'!I38</f>
        <v>No elements are exposed to the hazard e.g. &lt;5% of element/asset is exposed to the hazard</v>
      </c>
      <c r="E77" s="392"/>
      <c r="F77" s="392"/>
      <c r="G77" s="392"/>
      <c r="H77" s="392"/>
      <c r="I77" s="392"/>
      <c r="J77" s="392"/>
      <c r="K77" s="392"/>
      <c r="L77" s="392"/>
      <c r="M77" s="392"/>
      <c r="N77" s="392"/>
      <c r="O77" s="153"/>
      <c r="P77" s="153"/>
      <c r="Q77" s="195"/>
      <c r="R77" s="155"/>
    </row>
    <row r="78" spans="1:18" ht="21.65" customHeight="1" x14ac:dyDescent="0.35">
      <c r="A78" s="365"/>
      <c r="B78" s="165"/>
      <c r="C78" s="166"/>
      <c r="D78" s="166"/>
      <c r="E78" s="166"/>
      <c r="F78" s="31"/>
      <c r="G78" s="31"/>
      <c r="H78" s="31"/>
      <c r="I78" s="31"/>
      <c r="J78" s="31"/>
      <c r="K78" s="31"/>
      <c r="L78" s="31"/>
      <c r="M78" s="31"/>
      <c r="N78" s="31"/>
      <c r="O78" s="31"/>
      <c r="P78" s="157"/>
      <c r="Q78" s="19"/>
      <c r="R78" s="155"/>
    </row>
    <row r="79" spans="1:18" ht="38.4" customHeight="1" x14ac:dyDescent="0.35">
      <c r="A79" s="365">
        <f>'Backroom - question input'!A37</f>
        <v>2.9</v>
      </c>
      <c r="B79" s="397" t="str">
        <f>'Backroom - question input'!B37</f>
        <v>Using the definition of exposure levels above, please fill out present exposure scores in the below table for your industry.</v>
      </c>
      <c r="C79" s="398"/>
      <c r="D79" s="398"/>
      <c r="E79" s="398"/>
      <c r="F79" s="398"/>
      <c r="G79" s="398"/>
      <c r="H79" s="398"/>
      <c r="I79" s="398"/>
      <c r="J79" s="398"/>
      <c r="K79" s="398"/>
      <c r="L79" s="398"/>
      <c r="M79" s="398"/>
      <c r="N79" s="398"/>
      <c r="O79" s="398"/>
      <c r="P79" s="398"/>
      <c r="Q79" s="411"/>
      <c r="R79" s="155"/>
    </row>
    <row r="80" spans="1:18" ht="98.15" customHeight="1" x14ac:dyDescent="0.35">
      <c r="A80" s="365"/>
      <c r="B80" s="502" t="str">
        <f>'Backroom - question input'!B38</f>
        <v xml:space="preserve">1. Focus on what you already know or have already seen within your industry, these scores are based on the present day and can be informed by past events you've experienced.
2. For the elements relevant to your industry consider the activities you do and where the assets and features are located. 
3. If no scoring is provided, a conservative and generic default scoring will be used which may not reflect the specific exposure of your industry. 
4. Greyed-out columns do not require scoring. </v>
      </c>
      <c r="C80" s="503"/>
      <c r="D80" s="503"/>
      <c r="E80" s="503"/>
      <c r="F80" s="503"/>
      <c r="G80" s="503"/>
      <c r="H80" s="503"/>
      <c r="I80" s="503"/>
      <c r="J80" s="503"/>
      <c r="K80" s="503"/>
      <c r="L80" s="503"/>
      <c r="M80" s="503"/>
      <c r="N80" s="503"/>
      <c r="O80" s="506" t="str">
        <f>'Backroom - question input'!C37</f>
        <v>Consider using the Van KIRAP Climate Futures Portal
User: test
Password: vanKirap123</v>
      </c>
      <c r="P80" s="507"/>
      <c r="Q80" s="508"/>
      <c r="R80" s="155"/>
    </row>
    <row r="81" spans="1:22" ht="43.5" customHeight="1" x14ac:dyDescent="0.4">
      <c r="A81" s="365"/>
      <c r="B81" s="236" t="str">
        <f>'Backroom - question input'!B39</f>
        <v>Features</v>
      </c>
      <c r="C81" s="213" t="str">
        <f>'Backroom - question input'!C39</f>
        <v>Industry relevant element</v>
      </c>
      <c r="D81" s="492" t="str">
        <f>'Backroom - question input'!D39</f>
        <v>Coastal Inundation</v>
      </c>
      <c r="E81" s="436"/>
      <c r="F81" s="436" t="str">
        <f>'Backroom - question input'!E39</f>
        <v>Extreme Rainfall</v>
      </c>
      <c r="G81" s="436"/>
      <c r="H81" s="436" t="str">
        <f>'Backroom - question input'!F39</f>
        <v>Tropical Cyclone</v>
      </c>
      <c r="I81" s="436"/>
      <c r="J81" s="436" t="str">
        <f>'Backroom - question input'!G39</f>
        <v>Drought</v>
      </c>
      <c r="K81" s="436"/>
      <c r="L81" s="436" t="str">
        <f>'Backroom - question input'!H39</f>
        <v>Marine Heat Waves</v>
      </c>
      <c r="M81" s="436"/>
      <c r="N81" s="436" t="str">
        <f>'Backroom - question input'!I39</f>
        <v>Ocean Acidification</v>
      </c>
      <c r="O81" s="436"/>
      <c r="P81" s="444" t="str">
        <f>'Backroom - question input'!J39</f>
        <v>Extreme Temperature</v>
      </c>
      <c r="Q81" s="444"/>
      <c r="R81" s="155"/>
    </row>
    <row r="82" spans="1:22" ht="24.9" customHeight="1" x14ac:dyDescent="0.35">
      <c r="A82" s="365"/>
      <c r="B82" s="115" t="str">
        <f>'Backroom - question input'!B40</f>
        <v/>
      </c>
      <c r="C82" s="212">
        <f>'Backroom - question input'!C40</f>
        <v>0</v>
      </c>
      <c r="D82" s="402"/>
      <c r="E82" s="402"/>
      <c r="F82" s="402"/>
      <c r="G82" s="402"/>
      <c r="H82" s="402"/>
      <c r="I82" s="402"/>
      <c r="J82" s="402"/>
      <c r="K82" s="402"/>
      <c r="L82" s="402"/>
      <c r="M82" s="402"/>
      <c r="N82" s="402"/>
      <c r="O82" s="402"/>
      <c r="P82" s="402"/>
      <c r="Q82" s="402"/>
      <c r="R82" s="155"/>
    </row>
    <row r="83" spans="1:22" ht="24.9" customHeight="1" x14ac:dyDescent="0.35">
      <c r="A83" s="365"/>
      <c r="B83" s="30">
        <f>'Backroom - question input'!B41</f>
        <v>0</v>
      </c>
      <c r="C83" s="18">
        <f>'Backroom - question input'!C41</f>
        <v>0</v>
      </c>
      <c r="D83" s="402"/>
      <c r="E83" s="402"/>
      <c r="F83" s="402"/>
      <c r="G83" s="402"/>
      <c r="H83" s="402"/>
      <c r="I83" s="402"/>
      <c r="J83" s="402"/>
      <c r="K83" s="402"/>
      <c r="L83" s="402"/>
      <c r="M83" s="402"/>
      <c r="N83" s="402"/>
      <c r="O83" s="402"/>
      <c r="P83" s="402"/>
      <c r="Q83" s="402"/>
      <c r="R83" s="155"/>
    </row>
    <row r="84" spans="1:22" ht="24.9" customHeight="1" x14ac:dyDescent="0.35">
      <c r="A84" s="365"/>
      <c r="B84" s="30">
        <f>'Backroom - question input'!B42</f>
        <v>0</v>
      </c>
      <c r="C84" s="18">
        <f>'Backroom - question input'!C42</f>
        <v>0</v>
      </c>
      <c r="D84" s="402"/>
      <c r="E84" s="402"/>
      <c r="F84" s="402"/>
      <c r="G84" s="402"/>
      <c r="H84" s="402"/>
      <c r="I84" s="402"/>
      <c r="J84" s="402"/>
      <c r="K84" s="402"/>
      <c r="L84" s="402"/>
      <c r="M84" s="402"/>
      <c r="N84" s="402"/>
      <c r="O84" s="402"/>
      <c r="P84" s="402"/>
      <c r="Q84" s="402"/>
      <c r="R84" s="155"/>
    </row>
    <row r="85" spans="1:22" ht="24.9" customHeight="1" x14ac:dyDescent="0.35">
      <c r="A85" s="365"/>
      <c r="B85" s="30">
        <f>'Backroom - question input'!B43</f>
        <v>0</v>
      </c>
      <c r="C85" s="18">
        <f>'Backroom - question input'!C43</f>
        <v>0</v>
      </c>
      <c r="D85" s="402"/>
      <c r="E85" s="402"/>
      <c r="F85" s="402"/>
      <c r="G85" s="402"/>
      <c r="H85" s="402"/>
      <c r="I85" s="402"/>
      <c r="J85" s="402"/>
      <c r="K85" s="402"/>
      <c r="L85" s="402"/>
      <c r="M85" s="402"/>
      <c r="N85" s="402"/>
      <c r="O85" s="402"/>
      <c r="P85" s="402"/>
      <c r="Q85" s="402"/>
      <c r="R85" s="155"/>
    </row>
    <row r="86" spans="1:22" ht="24.9" customHeight="1" x14ac:dyDescent="0.35">
      <c r="A86" s="365"/>
      <c r="B86" s="30">
        <f>'Backroom - question input'!B44</f>
        <v>0</v>
      </c>
      <c r="C86" s="18">
        <f>'Backroom - question input'!C44</f>
        <v>0</v>
      </c>
      <c r="D86" s="402"/>
      <c r="E86" s="402"/>
      <c r="F86" s="402"/>
      <c r="G86" s="402"/>
      <c r="H86" s="402"/>
      <c r="I86" s="402"/>
      <c r="J86" s="402"/>
      <c r="K86" s="402"/>
      <c r="L86" s="402"/>
      <c r="M86" s="402"/>
      <c r="N86" s="402"/>
      <c r="O86" s="402"/>
      <c r="P86" s="402"/>
      <c r="Q86" s="402"/>
      <c r="R86" s="155"/>
    </row>
    <row r="87" spans="1:22" ht="24.9" customHeight="1" x14ac:dyDescent="0.35">
      <c r="A87" s="365"/>
      <c r="B87" s="30">
        <f>'Backroom - question input'!B45</f>
        <v>0</v>
      </c>
      <c r="C87" s="18">
        <f>'Backroom - question input'!C45</f>
        <v>0</v>
      </c>
      <c r="D87" s="402"/>
      <c r="E87" s="402"/>
      <c r="F87" s="402"/>
      <c r="G87" s="402"/>
      <c r="H87" s="402"/>
      <c r="I87" s="402"/>
      <c r="J87" s="402"/>
      <c r="K87" s="402"/>
      <c r="L87" s="402"/>
      <c r="M87" s="402"/>
      <c r="N87" s="402"/>
      <c r="O87" s="402"/>
      <c r="P87" s="402"/>
      <c r="Q87" s="402"/>
      <c r="R87" s="155"/>
    </row>
    <row r="88" spans="1:22" ht="24.9" customHeight="1" x14ac:dyDescent="0.35">
      <c r="A88" s="365"/>
      <c r="B88" s="30">
        <f>'Backroom - question input'!B46</f>
        <v>0</v>
      </c>
      <c r="C88" s="18">
        <f>'Backroom - question input'!C46</f>
        <v>0</v>
      </c>
      <c r="D88" s="402"/>
      <c r="E88" s="402"/>
      <c r="F88" s="402"/>
      <c r="G88" s="402"/>
      <c r="H88" s="402"/>
      <c r="I88" s="402"/>
      <c r="J88" s="402"/>
      <c r="K88" s="402"/>
      <c r="L88" s="402"/>
      <c r="M88" s="402"/>
      <c r="N88" s="402"/>
      <c r="O88" s="402"/>
      <c r="P88" s="402"/>
      <c r="Q88" s="402"/>
      <c r="R88" s="155"/>
    </row>
    <row r="89" spans="1:22" ht="24.9" customHeight="1" x14ac:dyDescent="0.35">
      <c r="A89" s="365"/>
      <c r="B89" s="30">
        <f>'Backroom - question input'!B47</f>
        <v>0</v>
      </c>
      <c r="C89" s="18">
        <f>'Backroom - question input'!C47</f>
        <v>0</v>
      </c>
      <c r="D89" s="402"/>
      <c r="E89" s="402"/>
      <c r="F89" s="402"/>
      <c r="G89" s="402"/>
      <c r="H89" s="402"/>
      <c r="I89" s="402"/>
      <c r="J89" s="402"/>
      <c r="K89" s="402"/>
      <c r="L89" s="402"/>
      <c r="M89" s="402"/>
      <c r="N89" s="402"/>
      <c r="O89" s="402"/>
      <c r="P89" s="402"/>
      <c r="Q89" s="402"/>
      <c r="R89" s="155"/>
    </row>
    <row r="90" spans="1:22" ht="24.9" customHeight="1" x14ac:dyDescent="0.35">
      <c r="A90" s="365"/>
      <c r="B90" s="30">
        <f>'Backroom - question input'!B48</f>
        <v>0</v>
      </c>
      <c r="C90" s="18">
        <f>'Backroom - question input'!C48</f>
        <v>0</v>
      </c>
      <c r="D90" s="402"/>
      <c r="E90" s="402"/>
      <c r="F90" s="402"/>
      <c r="G90" s="402"/>
      <c r="H90" s="402"/>
      <c r="I90" s="402"/>
      <c r="J90" s="402"/>
      <c r="K90" s="402"/>
      <c r="L90" s="402"/>
      <c r="M90" s="402"/>
      <c r="N90" s="402"/>
      <c r="O90" s="402"/>
      <c r="P90" s="402"/>
      <c r="Q90" s="402"/>
      <c r="R90" s="155"/>
    </row>
    <row r="91" spans="1:22" ht="24.9" customHeight="1" x14ac:dyDescent="0.35">
      <c r="A91" s="365"/>
      <c r="B91" s="30">
        <f>'Backroom - question input'!B49</f>
        <v>0</v>
      </c>
      <c r="C91" s="18">
        <f>'Backroom - question input'!C49</f>
        <v>0</v>
      </c>
      <c r="D91" s="402"/>
      <c r="E91" s="402"/>
      <c r="F91" s="402"/>
      <c r="G91" s="402"/>
      <c r="H91" s="402"/>
      <c r="I91" s="402"/>
      <c r="J91" s="402"/>
      <c r="K91" s="402"/>
      <c r="L91" s="402"/>
      <c r="M91" s="402"/>
      <c r="N91" s="402"/>
      <c r="O91" s="402"/>
      <c r="P91" s="402"/>
      <c r="Q91" s="402"/>
      <c r="R91" s="155"/>
    </row>
    <row r="92" spans="1:22" ht="24.9" customHeight="1" x14ac:dyDescent="0.35">
      <c r="A92" s="365"/>
      <c r="B92" s="30">
        <f>'Backroom - question input'!B50</f>
        <v>0</v>
      </c>
      <c r="C92" s="18">
        <f>'Backroom - question input'!C50</f>
        <v>0</v>
      </c>
      <c r="D92" s="402"/>
      <c r="E92" s="402"/>
      <c r="F92" s="402"/>
      <c r="G92" s="402"/>
      <c r="H92" s="402"/>
      <c r="I92" s="402"/>
      <c r="J92" s="402"/>
      <c r="K92" s="402"/>
      <c r="L92" s="402"/>
      <c r="M92" s="402"/>
      <c r="N92" s="402"/>
      <c r="O92" s="402"/>
      <c r="P92" s="402"/>
      <c r="Q92" s="402"/>
      <c r="R92" s="155"/>
    </row>
    <row r="93" spans="1:22" ht="24.9" customHeight="1" x14ac:dyDescent="0.35">
      <c r="A93" s="365"/>
      <c r="B93" s="30">
        <f>'Backroom - question input'!B51</f>
        <v>0</v>
      </c>
      <c r="C93" s="18">
        <f>'Backroom - question input'!C51</f>
        <v>0</v>
      </c>
      <c r="D93" s="402"/>
      <c r="E93" s="402"/>
      <c r="F93" s="402"/>
      <c r="G93" s="402"/>
      <c r="H93" s="402"/>
      <c r="I93" s="402"/>
      <c r="J93" s="402"/>
      <c r="K93" s="402"/>
      <c r="L93" s="402"/>
      <c r="M93" s="402"/>
      <c r="N93" s="402"/>
      <c r="O93" s="402"/>
      <c r="P93" s="402"/>
      <c r="Q93" s="402"/>
      <c r="R93" s="155"/>
    </row>
    <row r="94" spans="1:22" ht="24.9" customHeight="1" x14ac:dyDescent="0.35">
      <c r="A94" s="365"/>
      <c r="B94" s="30">
        <f>'Backroom - question input'!B52</f>
        <v>0</v>
      </c>
      <c r="C94" s="18">
        <f>'Backroom - question input'!C52</f>
        <v>0</v>
      </c>
      <c r="D94" s="402"/>
      <c r="E94" s="402"/>
      <c r="F94" s="402"/>
      <c r="G94" s="402"/>
      <c r="H94" s="402"/>
      <c r="I94" s="402"/>
      <c r="J94" s="402"/>
      <c r="K94" s="402"/>
      <c r="L94" s="402"/>
      <c r="M94" s="402"/>
      <c r="N94" s="402"/>
      <c r="O94" s="402"/>
      <c r="P94" s="402"/>
      <c r="Q94" s="402"/>
      <c r="R94" s="155"/>
      <c r="S94" s="247"/>
      <c r="T94" s="247"/>
      <c r="U94" s="247"/>
      <c r="V94" s="247"/>
    </row>
    <row r="95" spans="1:22" ht="24.9" customHeight="1" x14ac:dyDescent="0.35">
      <c r="A95" s="365"/>
      <c r="B95" s="30">
        <f>'Backroom - question input'!B53</f>
        <v>0</v>
      </c>
      <c r="C95" s="18">
        <f>'Backroom - question input'!C53</f>
        <v>0</v>
      </c>
      <c r="D95" s="402"/>
      <c r="E95" s="402"/>
      <c r="F95" s="402"/>
      <c r="G95" s="402"/>
      <c r="H95" s="402"/>
      <c r="I95" s="402"/>
      <c r="J95" s="402"/>
      <c r="K95" s="402"/>
      <c r="L95" s="402"/>
      <c r="M95" s="402"/>
      <c r="N95" s="402"/>
      <c r="O95" s="402"/>
      <c r="P95" s="402"/>
      <c r="Q95" s="402"/>
      <c r="R95" s="155"/>
      <c r="S95" s="247"/>
      <c r="T95" s="247"/>
      <c r="U95" s="247"/>
      <c r="V95" s="247"/>
    </row>
    <row r="96" spans="1:22" ht="24.9" customHeight="1" x14ac:dyDescent="0.35">
      <c r="A96" s="365"/>
      <c r="B96" s="30">
        <f>'Backroom - question input'!B54</f>
        <v>0</v>
      </c>
      <c r="C96" s="18">
        <f>'Backroom - question input'!C54</f>
        <v>0</v>
      </c>
      <c r="D96" s="402"/>
      <c r="E96" s="402"/>
      <c r="F96" s="402"/>
      <c r="G96" s="402"/>
      <c r="H96" s="402"/>
      <c r="I96" s="402"/>
      <c r="J96" s="402"/>
      <c r="K96" s="402"/>
      <c r="L96" s="402"/>
      <c r="M96" s="402"/>
      <c r="N96" s="402"/>
      <c r="O96" s="402"/>
      <c r="P96" s="402"/>
      <c r="Q96" s="402"/>
      <c r="R96" s="155"/>
      <c r="S96" s="247"/>
      <c r="T96" s="247"/>
      <c r="U96" s="247"/>
      <c r="V96" s="247"/>
    </row>
    <row r="97" spans="1:22" ht="24.9" customHeight="1" x14ac:dyDescent="0.35">
      <c r="A97" s="365"/>
      <c r="B97" s="30">
        <f>'Backroom - question input'!B55</f>
        <v>0</v>
      </c>
      <c r="C97" s="18">
        <f>'Backroom - question input'!C55</f>
        <v>0</v>
      </c>
      <c r="D97" s="402"/>
      <c r="E97" s="402"/>
      <c r="F97" s="402"/>
      <c r="G97" s="402"/>
      <c r="H97" s="402"/>
      <c r="I97" s="402"/>
      <c r="J97" s="402"/>
      <c r="K97" s="402"/>
      <c r="L97" s="402"/>
      <c r="M97" s="402"/>
      <c r="N97" s="402"/>
      <c r="O97" s="402"/>
      <c r="P97" s="402"/>
      <c r="Q97" s="402"/>
      <c r="R97" s="155"/>
      <c r="S97" s="247"/>
      <c r="T97" s="247"/>
      <c r="U97" s="247"/>
      <c r="V97" s="247"/>
    </row>
    <row r="98" spans="1:22" ht="24.9" customHeight="1" x14ac:dyDescent="0.35">
      <c r="A98" s="365"/>
      <c r="B98" s="30">
        <f>'Backroom - question input'!B56</f>
        <v>0</v>
      </c>
      <c r="C98" s="18">
        <f>'Backroom - question input'!C56</f>
        <v>0</v>
      </c>
      <c r="D98" s="402"/>
      <c r="E98" s="402"/>
      <c r="F98" s="402"/>
      <c r="G98" s="402"/>
      <c r="H98" s="402"/>
      <c r="I98" s="402"/>
      <c r="J98" s="402"/>
      <c r="K98" s="402"/>
      <c r="L98" s="402"/>
      <c r="M98" s="402"/>
      <c r="N98" s="402"/>
      <c r="O98" s="402"/>
      <c r="P98" s="402"/>
      <c r="Q98" s="402"/>
      <c r="R98" s="155"/>
      <c r="S98" s="247"/>
      <c r="T98" s="247"/>
      <c r="U98" s="247"/>
      <c r="V98" s="247"/>
    </row>
    <row r="99" spans="1:22" ht="24.9" customHeight="1" x14ac:dyDescent="0.35">
      <c r="A99" s="365"/>
      <c r="B99" s="30">
        <f>'Backroom - question input'!B57</f>
        <v>0</v>
      </c>
      <c r="C99" s="18">
        <f>'Backroom - question input'!C57</f>
        <v>0</v>
      </c>
      <c r="D99" s="402"/>
      <c r="E99" s="402"/>
      <c r="F99" s="402"/>
      <c r="G99" s="402"/>
      <c r="H99" s="402"/>
      <c r="I99" s="402"/>
      <c r="J99" s="402"/>
      <c r="K99" s="402"/>
      <c r="L99" s="402"/>
      <c r="M99" s="402"/>
      <c r="N99" s="402"/>
      <c r="O99" s="402"/>
      <c r="P99" s="402"/>
      <c r="Q99" s="402"/>
      <c r="R99" s="155"/>
      <c r="S99" s="247"/>
      <c r="T99" s="247"/>
      <c r="U99" s="247"/>
      <c r="V99" s="247"/>
    </row>
    <row r="100" spans="1:22" ht="24.9" customHeight="1" x14ac:dyDescent="0.35">
      <c r="A100" s="365"/>
      <c r="B100" s="30">
        <f>'Backroom - question input'!B58</f>
        <v>0</v>
      </c>
      <c r="C100" s="18">
        <f>'Backroom - question input'!C58</f>
        <v>0</v>
      </c>
      <c r="D100" s="402"/>
      <c r="E100" s="402"/>
      <c r="F100" s="402"/>
      <c r="G100" s="402"/>
      <c r="H100" s="402"/>
      <c r="I100" s="402"/>
      <c r="J100" s="402"/>
      <c r="K100" s="402"/>
      <c r="L100" s="402"/>
      <c r="M100" s="402"/>
      <c r="N100" s="402"/>
      <c r="O100" s="402"/>
      <c r="P100" s="402"/>
      <c r="Q100" s="402"/>
      <c r="R100" s="155"/>
    </row>
    <row r="101" spans="1:22" ht="24.9" customHeight="1" x14ac:dyDescent="0.35">
      <c r="A101" s="365"/>
      <c r="B101" s="30">
        <f>'Backroom - question input'!B59</f>
        <v>0</v>
      </c>
      <c r="C101" s="18">
        <f>'Backroom - question input'!C59</f>
        <v>0</v>
      </c>
      <c r="D101" s="402"/>
      <c r="E101" s="402"/>
      <c r="F101" s="402"/>
      <c r="G101" s="402"/>
      <c r="H101" s="402"/>
      <c r="I101" s="402"/>
      <c r="J101" s="402"/>
      <c r="K101" s="402"/>
      <c r="L101" s="402"/>
      <c r="M101" s="402"/>
      <c r="N101" s="402"/>
      <c r="O101" s="402"/>
      <c r="P101" s="402"/>
      <c r="Q101" s="402"/>
      <c r="R101" s="155"/>
    </row>
    <row r="102" spans="1:22" ht="24.9" customHeight="1" x14ac:dyDescent="0.35">
      <c r="A102" s="365"/>
      <c r="B102" s="30">
        <f>'Backroom - question input'!B60</f>
        <v>0</v>
      </c>
      <c r="C102" s="18">
        <f>'Backroom - question input'!C60</f>
        <v>0</v>
      </c>
      <c r="D102" s="402"/>
      <c r="E102" s="402"/>
      <c r="F102" s="402"/>
      <c r="G102" s="402"/>
      <c r="H102" s="402"/>
      <c r="I102" s="402"/>
      <c r="J102" s="402"/>
      <c r="K102" s="402"/>
      <c r="L102" s="402"/>
      <c r="M102" s="402"/>
      <c r="N102" s="402"/>
      <c r="O102" s="402"/>
      <c r="P102" s="402"/>
      <c r="Q102" s="402"/>
      <c r="R102" s="155"/>
    </row>
    <row r="103" spans="1:22" ht="24.9" customHeight="1" x14ac:dyDescent="0.35">
      <c r="A103" s="365"/>
      <c r="B103" s="30">
        <f>'Backroom - question input'!B61</f>
        <v>0</v>
      </c>
      <c r="C103" s="18">
        <f>'Backroom - question input'!C61</f>
        <v>0</v>
      </c>
      <c r="D103" s="402"/>
      <c r="E103" s="402"/>
      <c r="F103" s="402"/>
      <c r="G103" s="402"/>
      <c r="H103" s="402"/>
      <c r="I103" s="402"/>
      <c r="J103" s="402"/>
      <c r="K103" s="402"/>
      <c r="L103" s="402"/>
      <c r="M103" s="402"/>
      <c r="N103" s="402"/>
      <c r="O103" s="402"/>
      <c r="P103" s="402"/>
      <c r="Q103" s="402"/>
      <c r="R103" s="155"/>
    </row>
    <row r="104" spans="1:22" ht="24.9" customHeight="1" x14ac:dyDescent="0.35">
      <c r="A104" s="365"/>
      <c r="B104" s="30">
        <f>'Backroom - question input'!B62</f>
        <v>0</v>
      </c>
      <c r="C104" s="18">
        <f>'Backroom - question input'!C62</f>
        <v>0</v>
      </c>
      <c r="D104" s="402"/>
      <c r="E104" s="402"/>
      <c r="F104" s="402"/>
      <c r="G104" s="402"/>
      <c r="H104" s="402"/>
      <c r="I104" s="402"/>
      <c r="J104" s="402"/>
      <c r="K104" s="402"/>
      <c r="L104" s="402"/>
      <c r="M104" s="402"/>
      <c r="N104" s="402"/>
      <c r="O104" s="402"/>
      <c r="P104" s="402"/>
      <c r="Q104" s="402"/>
      <c r="R104" s="155"/>
    </row>
    <row r="105" spans="1:22" ht="27.9" customHeight="1" x14ac:dyDescent="0.35">
      <c r="A105" s="365"/>
      <c r="Q105" s="19"/>
    </row>
    <row r="106" spans="1:22" ht="32.15" customHeight="1" x14ac:dyDescent="0.35">
      <c r="A106" s="365"/>
      <c r="B106" s="433" t="str">
        <f>'Backroom - question input'!B74</f>
        <v>3. Vulnerability</v>
      </c>
      <c r="C106" s="434"/>
      <c r="D106" s="434"/>
      <c r="E106" s="434"/>
      <c r="F106" s="434"/>
      <c r="G106" s="434"/>
      <c r="H106" s="434"/>
      <c r="I106" s="434"/>
      <c r="J106" s="434"/>
      <c r="K106" s="434"/>
      <c r="L106" s="434"/>
      <c r="M106" s="434"/>
      <c r="N106" s="434"/>
      <c r="O106" s="434"/>
      <c r="P106" s="434"/>
      <c r="Q106" s="435"/>
    </row>
    <row r="107" spans="1:22" ht="341.5" customHeight="1" x14ac:dyDescent="0.35">
      <c r="A107" s="365"/>
      <c r="B107" s="512" t="str">
        <f>'Backroom - question input'!C74</f>
        <v>Vulnerability, in the context of a climate risk assessment, is made up of sensitivity and adaptive capacity. Assessing vulnerability of the industry to climate hazards involves a qualitative evaluation of how susceptible the exposed assets and operations are to climate risks. Consider factors like sensitivity (how easily they can be affected) and adaptive capacity (how well they can cope).
Example – Adaptive Capacity: If there are early warning systems in place and/ or the infrastructure has been designed with coastal inundation resilience in mind then this has increased its adaptive capacity and lowered its vulnerability. 
Example – Sensitivity: If the infrastructure relies on ground water or has aging piped infrastructure then it would also be sensitive to rises in the groundwater table that is associated with coastal inundation. Making the infrastructure more vulnerable to the coastal inundation exposure.   
Applying this to a farming situation a high vulnerability scenario might be a cacao farm that relies on a particular freshwater irrigation source (low adaptive capacity), with cacao trees that can't cope easily with long periods of water stress (high sensitivity) whereas a low vulnerability scenario might be a yam farm that is not affected easily by drought as requires less irrigation (high adaptive capacity) since yams can better tolerate drought (low sensitivity).</v>
      </c>
      <c r="C107" s="513"/>
      <c r="D107" s="513"/>
      <c r="E107" s="513"/>
      <c r="F107" s="513"/>
      <c r="G107" s="513"/>
      <c r="H107" s="513"/>
      <c r="I107" s="513"/>
      <c r="J107" s="513"/>
      <c r="K107" s="513"/>
      <c r="L107" s="513"/>
      <c r="M107" s="513"/>
      <c r="N107" s="513"/>
      <c r="O107" s="513"/>
      <c r="P107" s="513"/>
      <c r="Q107" s="514"/>
    </row>
    <row r="108" spans="1:22" ht="31.5" customHeight="1" x14ac:dyDescent="0.35">
      <c r="A108" s="365"/>
      <c r="C108" s="515" t="str">
        <f>'Backroom - question input'!H74</f>
        <v>The following provides definitions for 'vulnerability' ratings that are used in the next exercise.</v>
      </c>
      <c r="D108" s="515"/>
      <c r="E108" s="515"/>
      <c r="F108" s="515"/>
      <c r="G108" s="515"/>
      <c r="H108" s="515"/>
      <c r="I108" s="515"/>
      <c r="J108" s="515"/>
      <c r="K108" s="515"/>
      <c r="L108" s="515"/>
      <c r="M108" s="515"/>
      <c r="N108" s="515"/>
      <c r="O108" s="145"/>
      <c r="P108" s="145"/>
      <c r="Q108" s="214"/>
    </row>
    <row r="109" spans="1:22" ht="19.5" customHeight="1" x14ac:dyDescent="0.35">
      <c r="A109" s="365"/>
      <c r="B109" s="201"/>
      <c r="C109" s="215" t="str">
        <f>'Backroom - question input'!H75</f>
        <v>Vulnerability rating</v>
      </c>
      <c r="D109" s="460" t="str">
        <f>'Backroom - question input'!I75</f>
        <v>Definition</v>
      </c>
      <c r="E109" s="461"/>
      <c r="F109" s="461"/>
      <c r="G109" s="461"/>
      <c r="H109" s="461"/>
      <c r="I109" s="461"/>
      <c r="J109" s="461"/>
      <c r="K109" s="461"/>
      <c r="L109" s="461"/>
      <c r="M109" s="461"/>
      <c r="N109" s="462"/>
      <c r="O109" s="209"/>
      <c r="P109" s="209"/>
      <c r="Q109" s="19"/>
    </row>
    <row r="110" spans="1:22" ht="35.15" customHeight="1" x14ac:dyDescent="0.35">
      <c r="A110" s="365"/>
      <c r="B110" s="202"/>
      <c r="C110" s="168" t="str">
        <f>'Backroom - question input'!H76</f>
        <v>E (Extreme)</v>
      </c>
      <c r="D110" s="438" t="str">
        <f>'Backroom - question input'!I76</f>
        <v xml:space="preserve">Extremely likely to be adversely affected, because the element or asset is highly sensitive to a given hazard and has a low capacity to adapt. </v>
      </c>
      <c r="E110" s="439"/>
      <c r="F110" s="439"/>
      <c r="G110" s="439"/>
      <c r="H110" s="439"/>
      <c r="I110" s="439"/>
      <c r="J110" s="439"/>
      <c r="K110" s="439"/>
      <c r="L110" s="439"/>
      <c r="M110" s="439"/>
      <c r="N110" s="440"/>
      <c r="O110" s="200"/>
      <c r="P110" s="200"/>
      <c r="Q110" s="195"/>
      <c r="R110" s="157"/>
    </row>
    <row r="111" spans="1:22" ht="35.15" customHeight="1" x14ac:dyDescent="0.35">
      <c r="A111" s="365"/>
      <c r="B111" s="202"/>
      <c r="C111" s="169" t="str">
        <f>'Backroom - question input'!H77</f>
        <v>H (High)</v>
      </c>
      <c r="D111" s="438" t="str">
        <f>'Backroom - question input'!I77</f>
        <v>Highly likely to be adversely affected, because the element or asset is highly sensitive to a given hazard and has a low capacity to adapt.</v>
      </c>
      <c r="E111" s="439"/>
      <c r="F111" s="439"/>
      <c r="G111" s="439"/>
      <c r="H111" s="439"/>
      <c r="I111" s="439"/>
      <c r="J111" s="439"/>
      <c r="K111" s="439"/>
      <c r="L111" s="439"/>
      <c r="M111" s="439"/>
      <c r="N111" s="440"/>
      <c r="O111" s="200"/>
      <c r="P111" s="200"/>
      <c r="Q111" s="195"/>
    </row>
    <row r="112" spans="1:22" ht="35.15" customHeight="1" x14ac:dyDescent="0.35">
      <c r="A112" s="365"/>
      <c r="B112" s="202"/>
      <c r="C112" s="170" t="str">
        <f>'Backroom - question input'!H78</f>
        <v>M (Moderate)</v>
      </c>
      <c r="D112" s="438" t="str">
        <f>'Backroom - question input'!I78</f>
        <v xml:space="preserve">Moderately likely to be adversely affected, because the element is moderately sensitive to a given hazard and has a low or moderate capacity to adapt. </v>
      </c>
      <c r="E112" s="439"/>
      <c r="F112" s="439"/>
      <c r="G112" s="439"/>
      <c r="H112" s="439"/>
      <c r="I112" s="439"/>
      <c r="J112" s="439"/>
      <c r="K112" s="439"/>
      <c r="L112" s="439"/>
      <c r="M112" s="439"/>
      <c r="N112" s="440"/>
      <c r="O112" s="200"/>
      <c r="P112" s="200"/>
      <c r="Q112" s="195"/>
    </row>
    <row r="113" spans="1:17" ht="35.15" customHeight="1" x14ac:dyDescent="0.35">
      <c r="A113" s="365"/>
      <c r="B113" s="202"/>
      <c r="C113" s="171" t="str">
        <f>'Backroom - question input'!H79</f>
        <v>L (Low)</v>
      </c>
      <c r="D113" s="438" t="str">
        <f>'Backroom - question input'!I79</f>
        <v xml:space="preserve">Low likelihood of being adversely affected, because the element has low sensitivity to a given hazard and a high capacity to adapt. </v>
      </c>
      <c r="E113" s="439"/>
      <c r="F113" s="439"/>
      <c r="G113" s="439"/>
      <c r="H113" s="439"/>
      <c r="I113" s="439"/>
      <c r="J113" s="439"/>
      <c r="K113" s="439"/>
      <c r="L113" s="439"/>
      <c r="M113" s="439"/>
      <c r="N113" s="440"/>
      <c r="O113" s="200"/>
      <c r="P113" s="200"/>
      <c r="Q113" s="195"/>
    </row>
    <row r="114" spans="1:17" ht="35.15" customHeight="1" x14ac:dyDescent="0.35">
      <c r="A114" s="365"/>
      <c r="B114" s="203"/>
      <c r="C114" s="167" t="str">
        <f>'Backroom - question input'!H80</f>
        <v>N/A (Not Applicable)</v>
      </c>
      <c r="D114" s="438" t="str">
        <f>'Backroom - question input'!I80</f>
        <v>There is no sensitivity or vulnerability to a given hazard</v>
      </c>
      <c r="E114" s="439"/>
      <c r="F114" s="439"/>
      <c r="G114" s="439"/>
      <c r="H114" s="439"/>
      <c r="I114" s="439"/>
      <c r="J114" s="439"/>
      <c r="K114" s="439"/>
      <c r="L114" s="439"/>
      <c r="M114" s="439"/>
      <c r="N114" s="440"/>
      <c r="O114" s="200"/>
      <c r="P114" s="200"/>
      <c r="Q114" s="195"/>
    </row>
    <row r="115" spans="1:17" ht="27.65" customHeight="1" x14ac:dyDescent="0.35">
      <c r="A115" s="365"/>
      <c r="B115" s="203"/>
      <c r="D115" s="49"/>
      <c r="E115" s="49"/>
      <c r="F115" s="49"/>
      <c r="G115" s="49"/>
      <c r="H115" s="49"/>
      <c r="I115" s="49"/>
      <c r="J115" s="49"/>
      <c r="K115" s="49"/>
      <c r="L115" s="49"/>
      <c r="M115" s="49"/>
      <c r="N115" s="49"/>
      <c r="O115" s="49"/>
      <c r="P115" s="153"/>
      <c r="Q115" s="195"/>
    </row>
    <row r="116" spans="1:17" ht="48.65" customHeight="1" x14ac:dyDescent="0.35">
      <c r="A116" s="365"/>
      <c r="B116" s="443" t="str">
        <f>'Backroom - question input'!B75</f>
        <v xml:space="preserve">Please review the below table. It provides an initial vulnerability assessment for each of the elements you've identified against climate hazards. </v>
      </c>
      <c r="C116" s="443"/>
      <c r="D116" s="443"/>
      <c r="E116" s="443"/>
      <c r="F116" s="443"/>
      <c r="G116" s="443"/>
      <c r="H116" s="443"/>
      <c r="I116" s="443"/>
      <c r="J116" s="443"/>
      <c r="K116" s="443"/>
      <c r="L116" s="443"/>
      <c r="M116" s="443"/>
      <c r="N116" s="443"/>
      <c r="O116" s="443"/>
      <c r="P116" s="443"/>
      <c r="Q116" s="443"/>
    </row>
    <row r="117" spans="1:17" ht="28.5" customHeight="1" x14ac:dyDescent="0.35">
      <c r="A117" s="365">
        <f>'Backroom - question input'!A75</f>
        <v>3.1</v>
      </c>
      <c r="B117" s="416" t="str">
        <f>'Backroom - question input'!C75</f>
        <v>Given your understanding of your industry do you agree with the initial vulnerability scoring?</v>
      </c>
      <c r="C117" s="417"/>
      <c r="D117" s="417"/>
      <c r="E117" s="417"/>
      <c r="F117" s="417"/>
      <c r="G117" s="417"/>
      <c r="H117" s="417"/>
      <c r="I117" s="417"/>
      <c r="J117" s="417"/>
      <c r="K117" s="417"/>
      <c r="L117" s="417"/>
      <c r="M117" s="417"/>
      <c r="N117" s="417"/>
      <c r="O117" s="418"/>
      <c r="P117" s="402"/>
      <c r="Q117" s="402"/>
    </row>
    <row r="118" spans="1:17" ht="92.4" customHeight="1" x14ac:dyDescent="0.35">
      <c r="A118" s="365">
        <f>'Backroom - question input'!A76</f>
        <v>3.2</v>
      </c>
      <c r="B118" s="504" t="str">
        <f>'Backroom - question input'!B76</f>
        <v xml:space="preserve">If you don't agree with the initial vulnerability assessment, please update any of the scoring using the 'update' columns for each climate hazard. Please provide any justifications for updates in the provided space. 
Once you have completed the review, please scroll down to the 'Risk Assessment' section. </v>
      </c>
      <c r="C118" s="505"/>
      <c r="D118" s="505"/>
      <c r="E118" s="505"/>
      <c r="F118" s="505"/>
      <c r="G118" s="505"/>
      <c r="H118" s="505"/>
      <c r="I118" s="505"/>
      <c r="J118" s="505"/>
      <c r="K118" s="505"/>
      <c r="L118" s="505"/>
      <c r="M118" s="505"/>
      <c r="N118" s="505"/>
      <c r="O118" s="506" t="str">
        <f>'Backroom - question input'!C37</f>
        <v>Consider using the Van KIRAP Climate Futures Portal
User: test
Password: vanKirap123</v>
      </c>
      <c r="P118" s="507"/>
      <c r="Q118" s="508"/>
    </row>
    <row r="119" spans="1:17" ht="17.399999999999999" customHeight="1" x14ac:dyDescent="0.35">
      <c r="A119" s="365"/>
      <c r="B119" s="404" t="str">
        <f>'Backroom - question input'!R83</f>
        <v>Please provide commentary to explain any score updates here:</v>
      </c>
      <c r="C119" s="406"/>
      <c r="D119" s="448"/>
      <c r="E119" s="449"/>
      <c r="F119" s="449"/>
      <c r="G119" s="449"/>
      <c r="H119" s="449"/>
      <c r="I119" s="449"/>
      <c r="J119" s="449"/>
      <c r="K119" s="449"/>
      <c r="L119" s="449"/>
      <c r="M119" s="449"/>
      <c r="N119" s="449"/>
      <c r="O119" s="449"/>
      <c r="P119" s="449"/>
      <c r="Q119" s="450"/>
    </row>
    <row r="120" spans="1:17" ht="17.399999999999999" customHeight="1" x14ac:dyDescent="0.35">
      <c r="A120" s="365"/>
      <c r="B120" s="404"/>
      <c r="C120" s="406"/>
      <c r="D120" s="451"/>
      <c r="E120" s="451"/>
      <c r="F120" s="451"/>
      <c r="G120" s="451"/>
      <c r="H120" s="451"/>
      <c r="I120" s="451"/>
      <c r="J120" s="451"/>
      <c r="K120" s="451"/>
      <c r="L120" s="451"/>
      <c r="M120" s="451"/>
      <c r="N120" s="451"/>
      <c r="O120" s="451"/>
      <c r="P120" s="451"/>
      <c r="Q120" s="452"/>
    </row>
    <row r="121" spans="1:17" ht="17.399999999999999" customHeight="1" x14ac:dyDescent="0.35">
      <c r="A121" s="365"/>
      <c r="B121" s="404"/>
      <c r="C121" s="406"/>
      <c r="D121" s="453"/>
      <c r="E121" s="451"/>
      <c r="F121" s="451"/>
      <c r="G121" s="451"/>
      <c r="H121" s="451"/>
      <c r="I121" s="451"/>
      <c r="J121" s="451"/>
      <c r="K121" s="451"/>
      <c r="L121" s="451"/>
      <c r="M121" s="451"/>
      <c r="N121" s="451"/>
      <c r="O121" s="451"/>
      <c r="P121" s="451"/>
      <c r="Q121" s="452"/>
    </row>
    <row r="122" spans="1:17" ht="17.399999999999999" customHeight="1" x14ac:dyDescent="0.35">
      <c r="A122" s="365"/>
      <c r="B122" s="404"/>
      <c r="C122" s="406"/>
      <c r="D122" s="454"/>
      <c r="E122" s="455"/>
      <c r="F122" s="455"/>
      <c r="G122" s="455"/>
      <c r="H122" s="455"/>
      <c r="I122" s="455"/>
      <c r="J122" s="455"/>
      <c r="K122" s="455"/>
      <c r="L122" s="455"/>
      <c r="M122" s="455"/>
      <c r="N122" s="455"/>
      <c r="O122" s="455"/>
      <c r="P122" s="455"/>
      <c r="Q122" s="456"/>
    </row>
    <row r="123" spans="1:17" ht="17.399999999999999" customHeight="1" x14ac:dyDescent="0.35">
      <c r="A123" s="365"/>
      <c r="B123" s="234"/>
      <c r="C123" s="49"/>
      <c r="D123" s="49"/>
      <c r="E123" s="49"/>
      <c r="F123" s="49"/>
      <c r="G123" s="49"/>
      <c r="H123" s="49"/>
      <c r="I123" s="49"/>
      <c r="J123" s="49"/>
      <c r="K123" s="49"/>
      <c r="L123" s="49"/>
      <c r="M123" s="49"/>
      <c r="N123" s="49"/>
      <c r="O123" s="49"/>
      <c r="P123" s="49"/>
      <c r="Q123" s="235"/>
    </row>
    <row r="124" spans="1:17" ht="17.399999999999999" customHeight="1" x14ac:dyDescent="0.35">
      <c r="A124" s="365"/>
      <c r="B124" s="431" t="str">
        <f>'Backroom - question input'!B83</f>
        <v>Features</v>
      </c>
      <c r="C124" s="441" t="str">
        <f>'Backroom - question input'!C83</f>
        <v>Industry relevant element</v>
      </c>
      <c r="D124" s="436" t="str">
        <f>'Backroom - question input'!D82</f>
        <v>Coastal Inundation</v>
      </c>
      <c r="E124" s="436"/>
      <c r="F124" s="436" t="str">
        <f>'Backroom - question input'!F82</f>
        <v>Extreme Rainfall</v>
      </c>
      <c r="G124" s="436"/>
      <c r="H124" s="436" t="str">
        <f>'Backroom - question input'!H82</f>
        <v>Tropical Cyclone</v>
      </c>
      <c r="I124" s="436"/>
      <c r="J124" s="436" t="str">
        <f>'Backroom - question input'!J82</f>
        <v>Drought</v>
      </c>
      <c r="K124" s="436"/>
      <c r="L124" s="436" t="str">
        <f>'Backroom - question input'!L82</f>
        <v>Marine Heat Waves</v>
      </c>
      <c r="M124" s="436"/>
      <c r="N124" s="444" t="str">
        <f>'Backroom - question input'!N82</f>
        <v>Ocean Acidification</v>
      </c>
      <c r="O124" s="444"/>
      <c r="P124" s="436" t="str">
        <f>'Backroom - question input'!P82</f>
        <v>Extreme Temperature</v>
      </c>
      <c r="Q124" s="436"/>
    </row>
    <row r="125" spans="1:17" ht="21.9" customHeight="1" x14ac:dyDescent="0.35">
      <c r="A125" s="365"/>
      <c r="B125" s="431"/>
      <c r="C125" s="441"/>
      <c r="D125" s="436"/>
      <c r="E125" s="436"/>
      <c r="F125" s="436"/>
      <c r="G125" s="436"/>
      <c r="H125" s="436"/>
      <c r="I125" s="436"/>
      <c r="J125" s="436"/>
      <c r="K125" s="436"/>
      <c r="L125" s="436"/>
      <c r="M125" s="436"/>
      <c r="N125" s="444"/>
      <c r="O125" s="444"/>
      <c r="P125" s="436"/>
      <c r="Q125" s="436"/>
    </row>
    <row r="126" spans="1:17" ht="45.65" customHeight="1" x14ac:dyDescent="0.35">
      <c r="A126" s="365"/>
      <c r="B126" s="432"/>
      <c r="C126" s="442"/>
      <c r="D126" s="191" t="str">
        <f>'Backroom - question input'!D83</f>
        <v>Initial</v>
      </c>
      <c r="E126" s="210" t="str">
        <f>'Backroom - question input'!E83</f>
        <v>Update?</v>
      </c>
      <c r="F126" s="192" t="str">
        <f>'Backroom - question input'!F83</f>
        <v>Initial</v>
      </c>
      <c r="G126" s="211" t="str">
        <f>'Backroom - question input'!G83</f>
        <v>Update?</v>
      </c>
      <c r="H126" s="191" t="str">
        <f>'Backroom - question input'!H83</f>
        <v>Initial</v>
      </c>
      <c r="I126" s="191" t="str">
        <f>'Backroom - question input'!I83</f>
        <v>Update?</v>
      </c>
      <c r="J126" s="191" t="str">
        <f>'Backroom - question input'!J83</f>
        <v>Initial</v>
      </c>
      <c r="K126" s="191" t="str">
        <f>'Backroom - question input'!K83</f>
        <v>Update?</v>
      </c>
      <c r="L126" s="191" t="str">
        <f>'Backroom - question input'!L83</f>
        <v>Initial</v>
      </c>
      <c r="M126" s="191" t="str">
        <f>'Backroom - question input'!M83</f>
        <v>Update?</v>
      </c>
      <c r="N126" s="191" t="str">
        <f>'Backroom - question input'!N83</f>
        <v>Initial</v>
      </c>
      <c r="O126" s="191" t="str">
        <f>'Backroom - question input'!O83</f>
        <v>Update?</v>
      </c>
      <c r="P126" s="192" t="str">
        <f>'Backroom - question input'!P83</f>
        <v>Initial</v>
      </c>
      <c r="Q126" s="192" t="str">
        <f>'Backroom - question input'!Q83</f>
        <v>Update?</v>
      </c>
    </row>
    <row r="127" spans="1:17" ht="24.9" customHeight="1" x14ac:dyDescent="0.35">
      <c r="A127" s="365"/>
      <c r="B127" s="18" t="str">
        <f>'Backroom - question input'!B84</f>
        <v/>
      </c>
      <c r="C127" s="18">
        <f>'Backroom - question input'!C84</f>
        <v>0</v>
      </c>
      <c r="D127" s="18" t="str">
        <f>'Backroom - question input'!D84</f>
        <v/>
      </c>
      <c r="E127" s="303"/>
      <c r="F127" s="18" t="str">
        <f>'Backroom - question input'!F84</f>
        <v/>
      </c>
      <c r="G127" s="303"/>
      <c r="H127" s="18" t="str">
        <f>'Backroom - question input'!H84</f>
        <v/>
      </c>
      <c r="I127" s="303"/>
      <c r="J127" s="18" t="str">
        <f>'Backroom - question input'!J84</f>
        <v/>
      </c>
      <c r="K127" s="303"/>
      <c r="L127" s="18" t="str">
        <f>'Backroom - question input'!L84</f>
        <v/>
      </c>
      <c r="M127" s="303"/>
      <c r="N127" s="18" t="str">
        <f>'Backroom - question input'!N84</f>
        <v/>
      </c>
      <c r="O127" s="303"/>
      <c r="P127" s="18" t="str">
        <f>'Backroom - question input'!P84</f>
        <v/>
      </c>
      <c r="Q127" s="303"/>
    </row>
    <row r="128" spans="1:17" ht="24.9" customHeight="1" x14ac:dyDescent="0.35">
      <c r="A128" s="365"/>
      <c r="B128" s="18">
        <f>'Backroom - question input'!B85</f>
        <v>0</v>
      </c>
      <c r="C128" s="18">
        <f>'Backroom - question input'!C85</f>
        <v>0</v>
      </c>
      <c r="D128" s="18" t="str">
        <f>'Backroom - question input'!D85</f>
        <v/>
      </c>
      <c r="E128" s="303"/>
      <c r="F128" s="18" t="str">
        <f>'Backroom - question input'!F85</f>
        <v/>
      </c>
      <c r="G128" s="303"/>
      <c r="H128" s="18" t="str">
        <f>'Backroom - question input'!H85</f>
        <v/>
      </c>
      <c r="I128" s="303"/>
      <c r="J128" s="18" t="str">
        <f>'Backroom - question input'!J85</f>
        <v/>
      </c>
      <c r="K128" s="303"/>
      <c r="L128" s="18" t="str">
        <f>'Backroom - question input'!L85</f>
        <v/>
      </c>
      <c r="M128" s="303"/>
      <c r="N128" s="18" t="str">
        <f>'Backroom - question input'!N85</f>
        <v/>
      </c>
      <c r="O128" s="303"/>
      <c r="P128" s="18" t="str">
        <f>'Backroom - question input'!P85</f>
        <v/>
      </c>
      <c r="Q128" s="303"/>
    </row>
    <row r="129" spans="1:17" ht="24.9" customHeight="1" x14ac:dyDescent="0.35">
      <c r="A129" s="365"/>
      <c r="B129" s="18">
        <f>'Backroom - question input'!B86</f>
        <v>0</v>
      </c>
      <c r="C129" s="18">
        <f>'Backroom - question input'!C86</f>
        <v>0</v>
      </c>
      <c r="D129" s="18" t="str">
        <f>'Backroom - question input'!D86</f>
        <v/>
      </c>
      <c r="E129" s="303"/>
      <c r="F129" s="18" t="str">
        <f>'Backroom - question input'!F86</f>
        <v/>
      </c>
      <c r="G129" s="303"/>
      <c r="H129" s="18" t="str">
        <f>'Backroom - question input'!H86</f>
        <v/>
      </c>
      <c r="I129" s="303"/>
      <c r="J129" s="18" t="str">
        <f>'Backroom - question input'!J86</f>
        <v/>
      </c>
      <c r="K129" s="303"/>
      <c r="L129" s="18" t="str">
        <f>'Backroom - question input'!L86</f>
        <v/>
      </c>
      <c r="M129" s="303"/>
      <c r="N129" s="18" t="str">
        <f>'Backroom - question input'!N86</f>
        <v/>
      </c>
      <c r="O129" s="303"/>
      <c r="P129" s="18" t="str">
        <f>'Backroom - question input'!P86</f>
        <v/>
      </c>
      <c r="Q129" s="303"/>
    </row>
    <row r="130" spans="1:17" ht="24.9" customHeight="1" x14ac:dyDescent="0.35">
      <c r="A130" s="365"/>
      <c r="B130" s="18">
        <f>'Backroom - question input'!B87</f>
        <v>0</v>
      </c>
      <c r="C130" s="18">
        <f>'Backroom - question input'!C87</f>
        <v>0</v>
      </c>
      <c r="D130" s="18" t="str">
        <f>'Backroom - question input'!D87</f>
        <v/>
      </c>
      <c r="E130" s="303"/>
      <c r="F130" s="18" t="str">
        <f>'Backroom - question input'!F87</f>
        <v/>
      </c>
      <c r="G130" s="303"/>
      <c r="H130" s="18" t="str">
        <f>'Backroom - question input'!H87</f>
        <v/>
      </c>
      <c r="I130" s="303"/>
      <c r="J130" s="18" t="str">
        <f>'Backroom - question input'!J87</f>
        <v/>
      </c>
      <c r="K130" s="303"/>
      <c r="L130" s="18" t="str">
        <f>'Backroom - question input'!L87</f>
        <v/>
      </c>
      <c r="M130" s="303"/>
      <c r="N130" s="18" t="str">
        <f>'Backroom - question input'!N87</f>
        <v/>
      </c>
      <c r="O130" s="303"/>
      <c r="P130" s="18" t="str">
        <f>'Backroom - question input'!P87</f>
        <v/>
      </c>
      <c r="Q130" s="303"/>
    </row>
    <row r="131" spans="1:17" ht="24.9" customHeight="1" x14ac:dyDescent="0.35">
      <c r="A131" s="365"/>
      <c r="B131" s="18">
        <f>'Backroom - question input'!B88</f>
        <v>0</v>
      </c>
      <c r="C131" s="18">
        <f>'Backroom - question input'!C88</f>
        <v>0</v>
      </c>
      <c r="D131" s="18" t="str">
        <f>'Backroom - question input'!D88</f>
        <v/>
      </c>
      <c r="E131" s="303"/>
      <c r="F131" s="18" t="str">
        <f>'Backroom - question input'!F88</f>
        <v/>
      </c>
      <c r="G131" s="303"/>
      <c r="H131" s="18" t="str">
        <f>'Backroom - question input'!H88</f>
        <v/>
      </c>
      <c r="I131" s="303"/>
      <c r="J131" s="18" t="str">
        <f>'Backroom - question input'!J88</f>
        <v/>
      </c>
      <c r="K131" s="303"/>
      <c r="L131" s="18" t="str">
        <f>'Backroom - question input'!L88</f>
        <v/>
      </c>
      <c r="M131" s="303"/>
      <c r="N131" s="18" t="str">
        <f>'Backroom - question input'!N88</f>
        <v/>
      </c>
      <c r="O131" s="303"/>
      <c r="P131" s="18" t="str">
        <f>'Backroom - question input'!P88</f>
        <v/>
      </c>
      <c r="Q131" s="303"/>
    </row>
    <row r="132" spans="1:17" ht="24.9" customHeight="1" x14ac:dyDescent="0.35">
      <c r="A132" s="365"/>
      <c r="B132" s="18">
        <f>'Backroom - question input'!B89</f>
        <v>0</v>
      </c>
      <c r="C132" s="18">
        <f>'Backroom - question input'!C89</f>
        <v>0</v>
      </c>
      <c r="D132" s="18" t="str">
        <f>'Backroom - question input'!D89</f>
        <v/>
      </c>
      <c r="E132" s="303"/>
      <c r="F132" s="18" t="str">
        <f>'Backroom - question input'!F89</f>
        <v/>
      </c>
      <c r="G132" s="303"/>
      <c r="H132" s="18" t="str">
        <f>'Backroom - question input'!H89</f>
        <v/>
      </c>
      <c r="I132" s="303"/>
      <c r="J132" s="18" t="str">
        <f>'Backroom - question input'!J89</f>
        <v/>
      </c>
      <c r="K132" s="303"/>
      <c r="L132" s="18" t="str">
        <f>'Backroom - question input'!L89</f>
        <v/>
      </c>
      <c r="M132" s="303"/>
      <c r="N132" s="18" t="str">
        <f>'Backroom - question input'!N89</f>
        <v/>
      </c>
      <c r="O132" s="303"/>
      <c r="P132" s="18" t="str">
        <f>'Backroom - question input'!P89</f>
        <v/>
      </c>
      <c r="Q132" s="303"/>
    </row>
    <row r="133" spans="1:17" ht="24.9" customHeight="1" x14ac:dyDescent="0.35">
      <c r="A133" s="365"/>
      <c r="B133" s="18">
        <f>'Backroom - question input'!B90</f>
        <v>0</v>
      </c>
      <c r="C133" s="18">
        <f>'Backroom - question input'!C90</f>
        <v>0</v>
      </c>
      <c r="D133" s="18" t="str">
        <f>'Backroom - question input'!D90</f>
        <v/>
      </c>
      <c r="E133" s="303"/>
      <c r="F133" s="18" t="str">
        <f>'Backroom - question input'!F90</f>
        <v/>
      </c>
      <c r="G133" s="303"/>
      <c r="H133" s="18" t="str">
        <f>'Backroom - question input'!H90</f>
        <v/>
      </c>
      <c r="I133" s="303"/>
      <c r="J133" s="18" t="str">
        <f>'Backroom - question input'!J90</f>
        <v/>
      </c>
      <c r="K133" s="303"/>
      <c r="L133" s="18" t="str">
        <f>'Backroom - question input'!L90</f>
        <v/>
      </c>
      <c r="M133" s="303"/>
      <c r="N133" s="18" t="str">
        <f>'Backroom - question input'!N90</f>
        <v/>
      </c>
      <c r="O133" s="303"/>
      <c r="P133" s="18" t="str">
        <f>'Backroom - question input'!P90</f>
        <v/>
      </c>
      <c r="Q133" s="303"/>
    </row>
    <row r="134" spans="1:17" ht="24.9" customHeight="1" x14ac:dyDescent="0.35">
      <c r="A134" s="365"/>
      <c r="B134" s="18">
        <f>'Backroom - question input'!B91</f>
        <v>0</v>
      </c>
      <c r="C134" s="18">
        <f>'Backroom - question input'!C91</f>
        <v>0</v>
      </c>
      <c r="D134" s="18" t="str">
        <f>'Backroom - question input'!D91</f>
        <v/>
      </c>
      <c r="E134" s="303"/>
      <c r="F134" s="18" t="str">
        <f>'Backroom - question input'!F91</f>
        <v/>
      </c>
      <c r="G134" s="303"/>
      <c r="H134" s="18" t="str">
        <f>'Backroom - question input'!H91</f>
        <v/>
      </c>
      <c r="I134" s="303"/>
      <c r="J134" s="18" t="str">
        <f>'Backroom - question input'!J91</f>
        <v/>
      </c>
      <c r="K134" s="303"/>
      <c r="L134" s="18" t="str">
        <f>'Backroom - question input'!L91</f>
        <v/>
      </c>
      <c r="M134" s="303"/>
      <c r="N134" s="18" t="str">
        <f>'Backroom - question input'!N91</f>
        <v/>
      </c>
      <c r="O134" s="303"/>
      <c r="P134" s="18" t="str">
        <f>'Backroom - question input'!P91</f>
        <v/>
      </c>
      <c r="Q134" s="303"/>
    </row>
    <row r="135" spans="1:17" ht="24.9" customHeight="1" x14ac:dyDescent="0.35">
      <c r="A135" s="365"/>
      <c r="B135" s="18">
        <f>'Backroom - question input'!B92</f>
        <v>0</v>
      </c>
      <c r="C135" s="18">
        <f>'Backroom - question input'!C92</f>
        <v>0</v>
      </c>
      <c r="D135" s="18" t="str">
        <f>'Backroom - question input'!D92</f>
        <v/>
      </c>
      <c r="E135" s="303"/>
      <c r="F135" s="18" t="str">
        <f>'Backroom - question input'!F92</f>
        <v/>
      </c>
      <c r="G135" s="303"/>
      <c r="H135" s="18" t="str">
        <f>'Backroom - question input'!H92</f>
        <v/>
      </c>
      <c r="I135" s="303"/>
      <c r="J135" s="18" t="str">
        <f>'Backroom - question input'!J92</f>
        <v/>
      </c>
      <c r="K135" s="303"/>
      <c r="L135" s="18" t="str">
        <f>'Backroom - question input'!L92</f>
        <v/>
      </c>
      <c r="M135" s="303"/>
      <c r="N135" s="18" t="str">
        <f>'Backroom - question input'!N92</f>
        <v/>
      </c>
      <c r="O135" s="303"/>
      <c r="P135" s="18" t="str">
        <f>'Backroom - question input'!P92</f>
        <v/>
      </c>
      <c r="Q135" s="303"/>
    </row>
    <row r="136" spans="1:17" ht="24.9" customHeight="1" x14ac:dyDescent="0.35">
      <c r="A136" s="365"/>
      <c r="B136" s="18">
        <f>'Backroom - question input'!B93</f>
        <v>0</v>
      </c>
      <c r="C136" s="18">
        <f>'Backroom - question input'!C93</f>
        <v>0</v>
      </c>
      <c r="D136" s="18" t="str">
        <f>'Backroom - question input'!D93</f>
        <v/>
      </c>
      <c r="E136" s="303"/>
      <c r="F136" s="18" t="str">
        <f>'Backroom - question input'!F93</f>
        <v/>
      </c>
      <c r="G136" s="303"/>
      <c r="H136" s="18" t="str">
        <f>'Backroom - question input'!H93</f>
        <v/>
      </c>
      <c r="I136" s="303"/>
      <c r="J136" s="18" t="str">
        <f>'Backroom - question input'!J93</f>
        <v/>
      </c>
      <c r="K136" s="303"/>
      <c r="L136" s="18" t="str">
        <f>'Backroom - question input'!L93</f>
        <v/>
      </c>
      <c r="M136" s="303"/>
      <c r="N136" s="18" t="str">
        <f>'Backroom - question input'!N93</f>
        <v/>
      </c>
      <c r="O136" s="303"/>
      <c r="P136" s="18" t="str">
        <f>'Backroom - question input'!P93</f>
        <v/>
      </c>
      <c r="Q136" s="303"/>
    </row>
    <row r="137" spans="1:17" ht="24.9" customHeight="1" x14ac:dyDescent="0.35">
      <c r="A137" s="365"/>
      <c r="B137" s="18">
        <f>'Backroom - question input'!B94</f>
        <v>0</v>
      </c>
      <c r="C137" s="18">
        <f>'Backroom - question input'!C94</f>
        <v>0</v>
      </c>
      <c r="D137" s="18" t="str">
        <f>'Backroom - question input'!D94</f>
        <v/>
      </c>
      <c r="E137" s="303"/>
      <c r="F137" s="18" t="str">
        <f>'Backroom - question input'!F94</f>
        <v/>
      </c>
      <c r="G137" s="303"/>
      <c r="H137" s="18" t="str">
        <f>'Backroom - question input'!H94</f>
        <v/>
      </c>
      <c r="I137" s="303"/>
      <c r="J137" s="18" t="str">
        <f>'Backroom - question input'!J94</f>
        <v/>
      </c>
      <c r="K137" s="303"/>
      <c r="L137" s="18" t="str">
        <f>'Backroom - question input'!L94</f>
        <v/>
      </c>
      <c r="M137" s="303"/>
      <c r="N137" s="18" t="str">
        <f>'Backroom - question input'!N94</f>
        <v/>
      </c>
      <c r="O137" s="303"/>
      <c r="P137" s="18" t="str">
        <f>'Backroom - question input'!P94</f>
        <v/>
      </c>
      <c r="Q137" s="303"/>
    </row>
    <row r="138" spans="1:17" ht="24.9" customHeight="1" x14ac:dyDescent="0.35">
      <c r="A138" s="365"/>
      <c r="B138" s="18">
        <f>'Backroom - question input'!B95</f>
        <v>0</v>
      </c>
      <c r="C138" s="18">
        <f>'Backroom - question input'!C95</f>
        <v>0</v>
      </c>
      <c r="D138" s="18" t="str">
        <f>'Backroom - question input'!D95</f>
        <v/>
      </c>
      <c r="E138" s="303"/>
      <c r="F138" s="18" t="str">
        <f>'Backroom - question input'!F95</f>
        <v/>
      </c>
      <c r="G138" s="303"/>
      <c r="H138" s="18" t="str">
        <f>'Backroom - question input'!H95</f>
        <v/>
      </c>
      <c r="I138" s="303"/>
      <c r="J138" s="18" t="str">
        <f>'Backroom - question input'!J95</f>
        <v/>
      </c>
      <c r="K138" s="303"/>
      <c r="L138" s="18" t="str">
        <f>'Backroom - question input'!L95</f>
        <v/>
      </c>
      <c r="M138" s="303"/>
      <c r="N138" s="18" t="str">
        <f>'Backroom - question input'!N95</f>
        <v/>
      </c>
      <c r="O138" s="303"/>
      <c r="P138" s="18" t="str">
        <f>'Backroom - question input'!P95</f>
        <v/>
      </c>
      <c r="Q138" s="303"/>
    </row>
    <row r="139" spans="1:17" ht="24.9" customHeight="1" x14ac:dyDescent="0.35">
      <c r="A139" s="365"/>
      <c r="B139" s="18">
        <f>'Backroom - question input'!B96</f>
        <v>0</v>
      </c>
      <c r="C139" s="18">
        <f>'Backroom - question input'!C96</f>
        <v>0</v>
      </c>
      <c r="D139" s="18" t="str">
        <f>'Backroom - question input'!D96</f>
        <v/>
      </c>
      <c r="E139" s="303"/>
      <c r="F139" s="18" t="str">
        <f>'Backroom - question input'!F96</f>
        <v/>
      </c>
      <c r="G139" s="303"/>
      <c r="H139" s="18" t="str">
        <f>'Backroom - question input'!H96</f>
        <v/>
      </c>
      <c r="I139" s="303"/>
      <c r="J139" s="18" t="str">
        <f>'Backroom - question input'!J96</f>
        <v/>
      </c>
      <c r="K139" s="303"/>
      <c r="L139" s="18" t="str">
        <f>'Backroom - question input'!L96</f>
        <v/>
      </c>
      <c r="M139" s="303"/>
      <c r="N139" s="18" t="str">
        <f>'Backroom - question input'!N96</f>
        <v/>
      </c>
      <c r="O139" s="303"/>
      <c r="P139" s="18" t="str">
        <f>'Backroom - question input'!P96</f>
        <v/>
      </c>
      <c r="Q139" s="303"/>
    </row>
    <row r="140" spans="1:17" ht="24.9" customHeight="1" x14ac:dyDescent="0.35">
      <c r="A140" s="365"/>
      <c r="B140" s="18">
        <f>'Backroom - question input'!B97</f>
        <v>0</v>
      </c>
      <c r="C140" s="18">
        <f>'Backroom - question input'!C97</f>
        <v>0</v>
      </c>
      <c r="D140" s="18" t="str">
        <f>'Backroom - question input'!D97</f>
        <v/>
      </c>
      <c r="E140" s="303"/>
      <c r="F140" s="18" t="str">
        <f>'Backroom - question input'!F97</f>
        <v/>
      </c>
      <c r="G140" s="303"/>
      <c r="H140" s="18" t="str">
        <f>'Backroom - question input'!H97</f>
        <v/>
      </c>
      <c r="I140" s="303"/>
      <c r="J140" s="18" t="str">
        <f>'Backroom - question input'!J97</f>
        <v/>
      </c>
      <c r="K140" s="303"/>
      <c r="L140" s="18" t="str">
        <f>'Backroom - question input'!L97</f>
        <v/>
      </c>
      <c r="M140" s="303"/>
      <c r="N140" s="18" t="str">
        <f>'Backroom - question input'!N97</f>
        <v/>
      </c>
      <c r="O140" s="303"/>
      <c r="P140" s="18" t="str">
        <f>'Backroom - question input'!P97</f>
        <v/>
      </c>
      <c r="Q140" s="303"/>
    </row>
    <row r="141" spans="1:17" ht="24.9" customHeight="1" x14ac:dyDescent="0.35">
      <c r="A141" s="365"/>
      <c r="B141" s="18">
        <f>'Backroom - question input'!B98</f>
        <v>0</v>
      </c>
      <c r="C141" s="18">
        <f>'Backroom - question input'!C98</f>
        <v>0</v>
      </c>
      <c r="D141" s="18" t="str">
        <f>'Backroom - question input'!D98</f>
        <v/>
      </c>
      <c r="E141" s="303"/>
      <c r="F141" s="18" t="str">
        <f>'Backroom - question input'!F98</f>
        <v/>
      </c>
      <c r="G141" s="303"/>
      <c r="H141" s="18" t="str">
        <f>'Backroom - question input'!H98</f>
        <v/>
      </c>
      <c r="I141" s="303"/>
      <c r="J141" s="18" t="str">
        <f>'Backroom - question input'!J98</f>
        <v/>
      </c>
      <c r="K141" s="303"/>
      <c r="L141" s="18" t="str">
        <f>'Backroom - question input'!L98</f>
        <v/>
      </c>
      <c r="M141" s="303"/>
      <c r="N141" s="18" t="str">
        <f>'Backroom - question input'!N98</f>
        <v/>
      </c>
      <c r="O141" s="303"/>
      <c r="P141" s="18" t="str">
        <f>'Backroom - question input'!P98</f>
        <v/>
      </c>
      <c r="Q141" s="303"/>
    </row>
    <row r="142" spans="1:17" ht="24.9" customHeight="1" x14ac:dyDescent="0.35">
      <c r="A142" s="365"/>
      <c r="B142" s="18">
        <f>'Backroom - question input'!B99</f>
        <v>0</v>
      </c>
      <c r="C142" s="18">
        <f>'Backroom - question input'!C99</f>
        <v>0</v>
      </c>
      <c r="D142" s="18" t="str">
        <f>'Backroom - question input'!D99</f>
        <v/>
      </c>
      <c r="E142" s="303"/>
      <c r="F142" s="18" t="str">
        <f>'Backroom - question input'!F99</f>
        <v/>
      </c>
      <c r="G142" s="303"/>
      <c r="H142" s="18" t="str">
        <f>'Backroom - question input'!H99</f>
        <v/>
      </c>
      <c r="I142" s="303"/>
      <c r="J142" s="18" t="str">
        <f>'Backroom - question input'!J99</f>
        <v/>
      </c>
      <c r="K142" s="303"/>
      <c r="L142" s="18" t="str">
        <f>'Backroom - question input'!L99</f>
        <v/>
      </c>
      <c r="M142" s="303"/>
      <c r="N142" s="18" t="str">
        <f>'Backroom - question input'!N99</f>
        <v/>
      </c>
      <c r="O142" s="303"/>
      <c r="P142" s="18" t="str">
        <f>'Backroom - question input'!P99</f>
        <v/>
      </c>
      <c r="Q142" s="303"/>
    </row>
    <row r="143" spans="1:17" ht="24.9" customHeight="1" x14ac:dyDescent="0.35">
      <c r="A143" s="365"/>
      <c r="B143" s="18">
        <f>'Backroom - question input'!B100</f>
        <v>0</v>
      </c>
      <c r="C143" s="18">
        <f>'Backroom - question input'!C100</f>
        <v>0</v>
      </c>
      <c r="D143" s="18" t="str">
        <f>'Backroom - question input'!D100</f>
        <v/>
      </c>
      <c r="E143" s="303"/>
      <c r="F143" s="18" t="str">
        <f>'Backroom - question input'!F100</f>
        <v/>
      </c>
      <c r="G143" s="303"/>
      <c r="H143" s="18" t="str">
        <f>'Backroom - question input'!H100</f>
        <v/>
      </c>
      <c r="I143" s="303"/>
      <c r="J143" s="18" t="str">
        <f>'Backroom - question input'!J100</f>
        <v/>
      </c>
      <c r="K143" s="303"/>
      <c r="L143" s="18" t="str">
        <f>'Backroom - question input'!L100</f>
        <v/>
      </c>
      <c r="M143" s="303"/>
      <c r="N143" s="18" t="str">
        <f>'Backroom - question input'!N100</f>
        <v/>
      </c>
      <c r="O143" s="303"/>
      <c r="P143" s="18" t="str">
        <f>'Backroom - question input'!P100</f>
        <v/>
      </c>
      <c r="Q143" s="303"/>
    </row>
    <row r="144" spans="1:17" ht="24.9" customHeight="1" x14ac:dyDescent="0.35">
      <c r="A144" s="365"/>
      <c r="B144" s="18">
        <f>'Backroom - question input'!B101</f>
        <v>0</v>
      </c>
      <c r="C144" s="18">
        <f>'Backroom - question input'!C101</f>
        <v>0</v>
      </c>
      <c r="D144" s="18" t="str">
        <f>'Backroom - question input'!D101</f>
        <v/>
      </c>
      <c r="E144" s="303"/>
      <c r="F144" s="18" t="str">
        <f>'Backroom - question input'!F101</f>
        <v/>
      </c>
      <c r="G144" s="303"/>
      <c r="H144" s="18" t="str">
        <f>'Backroom - question input'!H101</f>
        <v/>
      </c>
      <c r="I144" s="303"/>
      <c r="J144" s="18" t="str">
        <f>'Backroom - question input'!J101</f>
        <v/>
      </c>
      <c r="K144" s="303"/>
      <c r="L144" s="18" t="str">
        <f>'Backroom - question input'!L101</f>
        <v/>
      </c>
      <c r="M144" s="303"/>
      <c r="N144" s="18" t="str">
        <f>'Backroom - question input'!N101</f>
        <v/>
      </c>
      <c r="O144" s="303"/>
      <c r="P144" s="18" t="str">
        <f>'Backroom - question input'!P101</f>
        <v/>
      </c>
      <c r="Q144" s="303"/>
    </row>
    <row r="145" spans="1:18" ht="24.9" customHeight="1" x14ac:dyDescent="0.35">
      <c r="A145" s="365"/>
      <c r="B145" s="18">
        <f>'Backroom - question input'!B102</f>
        <v>0</v>
      </c>
      <c r="C145" s="18">
        <f>'Backroom - question input'!C102</f>
        <v>0</v>
      </c>
      <c r="D145" s="18" t="str">
        <f>'Backroom - question input'!D102</f>
        <v/>
      </c>
      <c r="E145" s="303"/>
      <c r="F145" s="18" t="str">
        <f>'Backroom - question input'!F102</f>
        <v/>
      </c>
      <c r="G145" s="303"/>
      <c r="H145" s="18" t="str">
        <f>'Backroom - question input'!H102</f>
        <v/>
      </c>
      <c r="I145" s="303"/>
      <c r="J145" s="18" t="str">
        <f>'Backroom - question input'!J102</f>
        <v/>
      </c>
      <c r="K145" s="303"/>
      <c r="L145" s="18" t="str">
        <f>'Backroom - question input'!L102</f>
        <v/>
      </c>
      <c r="M145" s="303"/>
      <c r="N145" s="18" t="str">
        <f>'Backroom - question input'!N102</f>
        <v/>
      </c>
      <c r="O145" s="303"/>
      <c r="P145" s="18" t="str">
        <f>'Backroom - question input'!P102</f>
        <v/>
      </c>
      <c r="Q145" s="303"/>
    </row>
    <row r="146" spans="1:18" ht="24.9" customHeight="1" x14ac:dyDescent="0.35">
      <c r="A146" s="365"/>
      <c r="B146" s="18">
        <f>'Backroom - question input'!B103</f>
        <v>0</v>
      </c>
      <c r="C146" s="18">
        <f>'Backroom - question input'!C103</f>
        <v>0</v>
      </c>
      <c r="D146" s="18" t="str">
        <f>'Backroom - question input'!D103</f>
        <v/>
      </c>
      <c r="E146" s="303"/>
      <c r="F146" s="18" t="str">
        <f>'Backroom - question input'!F103</f>
        <v/>
      </c>
      <c r="G146" s="303"/>
      <c r="H146" s="18" t="str">
        <f>'Backroom - question input'!H103</f>
        <v/>
      </c>
      <c r="I146" s="303"/>
      <c r="J146" s="18" t="str">
        <f>'Backroom - question input'!J103</f>
        <v/>
      </c>
      <c r="K146" s="303"/>
      <c r="L146" s="18" t="str">
        <f>'Backroom - question input'!L103</f>
        <v/>
      </c>
      <c r="M146" s="303"/>
      <c r="N146" s="18" t="str">
        <f>'Backroom - question input'!N103</f>
        <v/>
      </c>
      <c r="O146" s="303"/>
      <c r="P146" s="18" t="str">
        <f>'Backroom - question input'!P103</f>
        <v/>
      </c>
      <c r="Q146" s="303"/>
    </row>
    <row r="147" spans="1:18" ht="24.9" customHeight="1" x14ac:dyDescent="0.35">
      <c r="A147" s="365"/>
      <c r="B147" s="18">
        <f>'Backroom - question input'!B104</f>
        <v>0</v>
      </c>
      <c r="C147" s="18">
        <f>'Backroom - question input'!C104</f>
        <v>0</v>
      </c>
      <c r="D147" s="18" t="str">
        <f>'Backroom - question input'!D104</f>
        <v/>
      </c>
      <c r="E147" s="303"/>
      <c r="F147" s="18" t="str">
        <f>'Backroom - question input'!F104</f>
        <v/>
      </c>
      <c r="G147" s="303"/>
      <c r="H147" s="18" t="str">
        <f>'Backroom - question input'!H104</f>
        <v/>
      </c>
      <c r="I147" s="303"/>
      <c r="J147" s="18" t="str">
        <f>'Backroom - question input'!J104</f>
        <v/>
      </c>
      <c r="K147" s="303"/>
      <c r="L147" s="18" t="str">
        <f>'Backroom - question input'!L104</f>
        <v/>
      </c>
      <c r="M147" s="303"/>
      <c r="N147" s="18" t="str">
        <f>'Backroom - question input'!N104</f>
        <v/>
      </c>
      <c r="O147" s="303"/>
      <c r="P147" s="18" t="str">
        <f>'Backroom - question input'!P104</f>
        <v/>
      </c>
      <c r="Q147" s="303"/>
    </row>
    <row r="148" spans="1:18" ht="24.9" customHeight="1" x14ac:dyDescent="0.35">
      <c r="A148" s="365"/>
      <c r="B148" s="18">
        <f>'Backroom - question input'!B105</f>
        <v>0</v>
      </c>
      <c r="C148" s="18">
        <f>'Backroom - question input'!C105</f>
        <v>0</v>
      </c>
      <c r="D148" s="18" t="str">
        <f>'Backroom - question input'!D105</f>
        <v/>
      </c>
      <c r="E148" s="303"/>
      <c r="F148" s="18" t="str">
        <f>'Backroom - question input'!F105</f>
        <v/>
      </c>
      <c r="G148" s="303"/>
      <c r="H148" s="18" t="str">
        <f>'Backroom - question input'!H105</f>
        <v/>
      </c>
      <c r="I148" s="303"/>
      <c r="J148" s="18" t="str">
        <f>'Backroom - question input'!J105</f>
        <v/>
      </c>
      <c r="K148" s="303"/>
      <c r="L148" s="18" t="str">
        <f>'Backroom - question input'!L105</f>
        <v/>
      </c>
      <c r="M148" s="303"/>
      <c r="N148" s="18" t="str">
        <f>'Backroom - question input'!N105</f>
        <v/>
      </c>
      <c r="O148" s="303"/>
      <c r="P148" s="18" t="str">
        <f>'Backroom - question input'!P105</f>
        <v/>
      </c>
      <c r="Q148" s="303"/>
    </row>
    <row r="149" spans="1:18" ht="24.9" customHeight="1" thickBot="1" x14ac:dyDescent="0.4">
      <c r="A149" s="365"/>
      <c r="B149" s="134">
        <f>'Backroom - question input'!B106</f>
        <v>0</v>
      </c>
      <c r="C149" s="134">
        <f>'Backroom - question input'!C106</f>
        <v>0</v>
      </c>
      <c r="D149" s="134" t="str">
        <f>'Backroom - question input'!D106</f>
        <v/>
      </c>
      <c r="E149" s="323"/>
      <c r="F149" s="134" t="str">
        <f>'Backroom - question input'!F106</f>
        <v/>
      </c>
      <c r="G149" s="323"/>
      <c r="H149" s="134" t="str">
        <f>'Backroom - question input'!H106</f>
        <v/>
      </c>
      <c r="I149" s="323"/>
      <c r="J149" s="134" t="str">
        <f>'Backroom - question input'!J106</f>
        <v/>
      </c>
      <c r="K149" s="303"/>
      <c r="L149" s="134" t="str">
        <f>'Backroom - question input'!L106</f>
        <v/>
      </c>
      <c r="M149" s="323"/>
      <c r="N149" s="134" t="str">
        <f>'Backroom - question input'!N106</f>
        <v/>
      </c>
      <c r="O149" s="323"/>
      <c r="P149" s="134" t="str">
        <f>'Backroom - question input'!P106</f>
        <v/>
      </c>
      <c r="Q149" s="323"/>
      <c r="R149" s="190"/>
    </row>
    <row r="150" spans="1:18" s="259" customFormat="1" ht="134.4" customHeight="1" thickBot="1" x14ac:dyDescent="0.4">
      <c r="A150" s="366"/>
      <c r="B150" s="457" t="str">
        <f>'Backroom - question input'!B113</f>
        <v>4. Risk Assessment</v>
      </c>
      <c r="C150" s="458"/>
      <c r="D150" s="458"/>
      <c r="E150" s="458"/>
      <c r="F150" s="458"/>
      <c r="G150" s="458"/>
      <c r="H150" s="458"/>
      <c r="I150" s="458"/>
      <c r="J150" s="458"/>
      <c r="K150" s="458"/>
      <c r="L150" s="458"/>
      <c r="M150" s="458"/>
      <c r="N150" s="458"/>
      <c r="O150" s="458"/>
      <c r="P150" s="458"/>
      <c r="Q150" s="459"/>
    </row>
    <row r="151" spans="1:18" ht="32.15" customHeight="1" x14ac:dyDescent="0.35">
      <c r="A151" s="365"/>
      <c r="B151" s="433" t="str">
        <f>'Backroom - question input'!B115</f>
        <v>5. Understanding Existing Climate Risk Management</v>
      </c>
      <c r="C151" s="434"/>
      <c r="D151" s="434"/>
      <c r="E151" s="434"/>
      <c r="F151" s="434"/>
      <c r="G151" s="434"/>
      <c r="H151" s="434"/>
      <c r="I151" s="434"/>
      <c r="J151" s="434"/>
      <c r="K151" s="434"/>
      <c r="L151" s="434"/>
      <c r="M151" s="434"/>
      <c r="N151" s="434"/>
      <c r="O151" s="434"/>
      <c r="P151" s="434"/>
      <c r="Q151" s="435"/>
      <c r="R151" s="155"/>
    </row>
    <row r="152" spans="1:18" ht="36.65" customHeight="1" x14ac:dyDescent="0.35">
      <c r="A152" s="365"/>
      <c r="B152" s="445" t="str">
        <f>'Backroom - question input'!B116</f>
        <v>You have indicated that your industry experiences disruption and/or damage from climate hazards. The following questions are to help understand how these are currently being managed within your industry. Tropical cyclones are included by default because of their widespread impacts.</v>
      </c>
      <c r="C152" s="446"/>
      <c r="D152" s="446"/>
      <c r="E152" s="446"/>
      <c r="F152" s="446"/>
      <c r="G152" s="446"/>
      <c r="H152" s="446"/>
      <c r="I152" s="446"/>
      <c r="J152" s="446"/>
      <c r="K152" s="446"/>
      <c r="L152" s="446"/>
      <c r="M152" s="446"/>
      <c r="N152" s="446"/>
      <c r="O152" s="446"/>
      <c r="P152" s="446"/>
      <c r="Q152" s="447"/>
    </row>
    <row r="153" spans="1:18" ht="24.9" customHeight="1" x14ac:dyDescent="0.35">
      <c r="A153" s="365" t="str">
        <f>'Backroom - question input'!A118</f>
        <v>5.1a</v>
      </c>
      <c r="B153" s="421" t="str">
        <f>IF('Backroom - question input'!B118=0,"",'Backroom - question input'!B118)</f>
        <v>Has your industry prepared or implemented measures to manage risk associated with Tropical Cyclone? e.g. Evacuation planning</v>
      </c>
      <c r="C153" s="422"/>
      <c r="D153" s="422"/>
      <c r="E153" s="422"/>
      <c r="F153" s="422"/>
      <c r="G153" s="422"/>
      <c r="H153" s="422"/>
      <c r="I153" s="422"/>
      <c r="J153" s="422"/>
      <c r="K153" s="422"/>
      <c r="L153" s="422"/>
      <c r="M153" s="422"/>
      <c r="N153" s="422"/>
      <c r="O153" s="423"/>
      <c r="P153" s="402"/>
      <c r="Q153" s="402"/>
      <c r="R153" s="155"/>
    </row>
    <row r="154" spans="1:18" ht="24.9" customHeight="1" x14ac:dyDescent="0.35">
      <c r="A154" s="365" t="str">
        <f>'Backroom - question input'!A119</f>
        <v>5.1b</v>
      </c>
      <c r="B154" s="421" t="str">
        <f>IF('Backroom - question input'!B119=0,"",'Backroom - question input'!B119)</f>
        <v/>
      </c>
      <c r="C154" s="422"/>
      <c r="D154" s="422"/>
      <c r="E154" s="422"/>
      <c r="F154" s="422"/>
      <c r="G154" s="422"/>
      <c r="H154" s="422"/>
      <c r="I154" s="422"/>
      <c r="J154" s="422"/>
      <c r="K154" s="422"/>
      <c r="L154" s="422"/>
      <c r="M154" s="422"/>
      <c r="N154" s="422"/>
      <c r="O154" s="423"/>
      <c r="P154" s="419"/>
      <c r="Q154" s="420"/>
      <c r="R154" s="155"/>
    </row>
    <row r="155" spans="1:18" ht="24.9" customHeight="1" x14ac:dyDescent="0.35">
      <c r="A155" s="365" t="str">
        <f>'Backroom - question input'!A120</f>
        <v>5.1c</v>
      </c>
      <c r="B155" s="421" t="str">
        <f>IF('Backroom - question input'!B120=0,"",'Backroom - question input'!B120)</f>
        <v/>
      </c>
      <c r="C155" s="422"/>
      <c r="D155" s="422"/>
      <c r="E155" s="422"/>
      <c r="F155" s="422"/>
      <c r="G155" s="422"/>
      <c r="H155" s="422"/>
      <c r="I155" s="422"/>
      <c r="J155" s="422"/>
      <c r="K155" s="422"/>
      <c r="L155" s="422"/>
      <c r="M155" s="422"/>
      <c r="N155" s="422"/>
      <c r="O155" s="423"/>
      <c r="P155" s="402"/>
      <c r="Q155" s="402"/>
      <c r="R155" s="155"/>
    </row>
    <row r="156" spans="1:18" ht="24.9" customHeight="1" x14ac:dyDescent="0.35">
      <c r="A156" s="365" t="str">
        <f>'Backroom - question input'!A121</f>
        <v>5.1d</v>
      </c>
      <c r="B156" s="421" t="str">
        <f>IF('Backroom - question input'!B121=0,"",'Backroom - question input'!B121)</f>
        <v/>
      </c>
      <c r="C156" s="422"/>
      <c r="D156" s="422"/>
      <c r="E156" s="422"/>
      <c r="F156" s="422"/>
      <c r="G156" s="422"/>
      <c r="H156" s="422"/>
      <c r="I156" s="422"/>
      <c r="J156" s="422"/>
      <c r="K156" s="422"/>
      <c r="L156" s="422"/>
      <c r="M156" s="422"/>
      <c r="N156" s="422"/>
      <c r="O156" s="423"/>
      <c r="P156" s="419"/>
      <c r="Q156" s="420"/>
    </row>
    <row r="157" spans="1:18" ht="24.9" customHeight="1" x14ac:dyDescent="0.35">
      <c r="A157" s="365" t="str">
        <f>'Backroom - question input'!A122</f>
        <v>5.1e</v>
      </c>
      <c r="B157" s="421" t="str">
        <f>IF('Backroom - question input'!B122=0,"",'Backroom - question input'!B122)</f>
        <v/>
      </c>
      <c r="C157" s="422"/>
      <c r="D157" s="422"/>
      <c r="E157" s="422"/>
      <c r="F157" s="422"/>
      <c r="G157" s="422"/>
      <c r="H157" s="422"/>
      <c r="I157" s="422"/>
      <c r="J157" s="422"/>
      <c r="K157" s="422"/>
      <c r="L157" s="422"/>
      <c r="M157" s="422"/>
      <c r="N157" s="422"/>
      <c r="O157" s="423"/>
      <c r="P157" s="402"/>
      <c r="Q157" s="402"/>
    </row>
    <row r="158" spans="1:18" ht="24.9" customHeight="1" x14ac:dyDescent="0.35">
      <c r="A158" s="365" t="str">
        <f>'Backroom - question input'!A123</f>
        <v>5.1f</v>
      </c>
      <c r="B158" s="421" t="str">
        <f>IF('Backroom - question input'!B123=0,"",'Backroom - question input'!B123)</f>
        <v/>
      </c>
      <c r="C158" s="422"/>
      <c r="D158" s="422"/>
      <c r="E158" s="422"/>
      <c r="F158" s="422"/>
      <c r="G158" s="422"/>
      <c r="H158" s="422"/>
      <c r="I158" s="422"/>
      <c r="J158" s="422"/>
      <c r="K158" s="422"/>
      <c r="L158" s="422"/>
      <c r="M158" s="422"/>
      <c r="N158" s="422"/>
      <c r="O158" s="423"/>
      <c r="P158" s="419"/>
      <c r="Q158" s="420"/>
    </row>
    <row r="159" spans="1:18" ht="24.9" customHeight="1" x14ac:dyDescent="0.35">
      <c r="A159" s="365" t="str">
        <f>'Backroom - question input'!A124</f>
        <v>5.1g</v>
      </c>
      <c r="B159" s="421" t="str">
        <f>IF('Backroom - question input'!B124=0,"",'Backroom - question input'!B124)</f>
        <v/>
      </c>
      <c r="C159" s="422"/>
      <c r="D159" s="422"/>
      <c r="E159" s="422"/>
      <c r="F159" s="422"/>
      <c r="G159" s="422"/>
      <c r="H159" s="422"/>
      <c r="I159" s="422"/>
      <c r="J159" s="422"/>
      <c r="K159" s="422"/>
      <c r="L159" s="422"/>
      <c r="M159" s="422"/>
      <c r="N159" s="422"/>
      <c r="O159" s="423"/>
      <c r="P159" s="402"/>
      <c r="Q159" s="402"/>
    </row>
    <row r="160" spans="1:18" ht="23.15" customHeight="1" x14ac:dyDescent="0.35">
      <c r="A160" s="365"/>
      <c r="Q160" s="19"/>
      <c r="R160" s="155"/>
    </row>
    <row r="161" spans="1:18" ht="25.5" customHeight="1" x14ac:dyDescent="0.35">
      <c r="A161" s="365"/>
      <c r="B161" s="433" t="str">
        <f>'Backroom - question input'!B126</f>
        <v>6. Adaptation</v>
      </c>
      <c r="C161" s="434"/>
      <c r="D161" s="434"/>
      <c r="E161" s="434"/>
      <c r="F161" s="434"/>
      <c r="G161" s="434"/>
      <c r="H161" s="434"/>
      <c r="I161" s="434"/>
      <c r="J161" s="434"/>
      <c r="K161" s="434"/>
      <c r="L161" s="434"/>
      <c r="M161" s="434"/>
      <c r="N161" s="434"/>
      <c r="O161" s="434"/>
      <c r="P161" s="434"/>
      <c r="Q161" s="435"/>
      <c r="R161" s="155"/>
    </row>
    <row r="162" spans="1:18" ht="59.4" customHeight="1" x14ac:dyDescent="0.35">
      <c r="A162" s="365"/>
      <c r="B162" s="424" t="str">
        <f>'Backroom - question input'!B128</f>
        <v>Adaptation is the process of adjustment to actual or expected climate and its effects, in order to moderate harm. Within communities, people can work together to reduce the impact of climate hazards, through social networks, nature-based or hard-engineering solutions, upgrades to existing buildings and infrastructure and by being better prepared. These options include the protect, accommodate, retreat, and avoid framework (PARA):</v>
      </c>
      <c r="C162" s="425"/>
      <c r="D162" s="425"/>
      <c r="E162" s="425"/>
      <c r="F162" s="425"/>
      <c r="G162" s="425"/>
      <c r="H162" s="425"/>
      <c r="I162" s="425"/>
      <c r="J162" s="425"/>
      <c r="K162" s="425"/>
      <c r="L162" s="425"/>
      <c r="M162" s="425"/>
      <c r="N162" s="425"/>
      <c r="O162" s="425"/>
      <c r="P162" s="425"/>
      <c r="Q162" s="426"/>
    </row>
    <row r="163" spans="1:18" x14ac:dyDescent="0.35">
      <c r="A163" s="365"/>
      <c r="B163" s="218" t="s">
        <v>265</v>
      </c>
      <c r="C163" s="429" t="str">
        <f>'Backroom - question input'!C128</f>
        <v>PROTECTING assets from risk, for example by building protective structures such as sea walls</v>
      </c>
      <c r="D163" s="429"/>
      <c r="E163" s="429"/>
      <c r="F163" s="429"/>
      <c r="G163" s="429"/>
      <c r="H163" s="429"/>
      <c r="I163" s="429"/>
      <c r="J163" s="429"/>
      <c r="K163" s="429"/>
      <c r="L163" s="429"/>
      <c r="M163" s="429"/>
      <c r="N163" s="429"/>
      <c r="O163" s="429"/>
      <c r="P163" s="429"/>
      <c r="Q163" s="430"/>
    </row>
    <row r="164" spans="1:18" x14ac:dyDescent="0.35">
      <c r="A164" s="365"/>
      <c r="B164" s="218" t="s">
        <v>265</v>
      </c>
      <c r="C164" s="429" t="str">
        <f>'Backroom - question input'!D128</f>
        <v xml:space="preserve">ACCOMMODATING risk, for example by incorporating adaptation options into the design of developments </v>
      </c>
      <c r="D164" s="429"/>
      <c r="E164" s="429"/>
      <c r="F164" s="429"/>
      <c r="G164" s="429"/>
      <c r="H164" s="429"/>
      <c r="I164" s="429"/>
      <c r="J164" s="429"/>
      <c r="K164" s="429"/>
      <c r="L164" s="429"/>
      <c r="M164" s="429"/>
      <c r="N164" s="429"/>
      <c r="O164" s="429"/>
      <c r="P164" s="429"/>
      <c r="Q164" s="217"/>
    </row>
    <row r="165" spans="1:18" x14ac:dyDescent="0.35">
      <c r="A165" s="365"/>
      <c r="B165" s="218" t="s">
        <v>265</v>
      </c>
      <c r="C165" s="429" t="str">
        <f>'Backroom - question input'!E128</f>
        <v>RETREATING from risk, for example by relocating existing development away from high-risk areas</v>
      </c>
      <c r="D165" s="429"/>
      <c r="E165" s="429"/>
      <c r="F165" s="429"/>
      <c r="G165" s="429"/>
      <c r="H165" s="429"/>
      <c r="I165" s="429"/>
      <c r="J165" s="429"/>
      <c r="K165" s="429"/>
      <c r="L165" s="429"/>
      <c r="M165" s="429"/>
      <c r="N165" s="429"/>
      <c r="O165" s="429"/>
      <c r="P165" s="429"/>
      <c r="Q165" s="430"/>
    </row>
    <row r="166" spans="1:18" x14ac:dyDescent="0.35">
      <c r="A166" s="365"/>
      <c r="B166" s="218" t="s">
        <v>265</v>
      </c>
      <c r="C166" s="429" t="str">
        <f>'Backroom - question input'!F128</f>
        <v xml:space="preserve">AVOIDING risk, for example by locating development away from areas prone to hazards </v>
      </c>
      <c r="D166" s="429"/>
      <c r="E166" s="429"/>
      <c r="F166" s="429"/>
      <c r="G166" s="429"/>
      <c r="H166" s="429"/>
      <c r="I166" s="429"/>
      <c r="J166" s="429"/>
      <c r="K166" s="429"/>
      <c r="L166" s="429"/>
      <c r="M166" s="429"/>
      <c r="N166" s="429"/>
      <c r="O166" s="429"/>
      <c r="P166" s="429"/>
      <c r="Q166" s="430"/>
    </row>
    <row r="167" spans="1:18" x14ac:dyDescent="0.35">
      <c r="A167" s="365"/>
      <c r="B167" s="186"/>
      <c r="C167" s="187"/>
      <c r="D167" s="187"/>
      <c r="E167" s="187"/>
      <c r="F167" s="187"/>
      <c r="G167" s="187"/>
      <c r="H167" s="187"/>
      <c r="I167" s="187"/>
      <c r="J167" s="187"/>
      <c r="K167" s="187"/>
      <c r="L167" s="187"/>
      <c r="M167" s="187"/>
      <c r="N167" s="187"/>
      <c r="O167" s="187"/>
      <c r="P167" s="187"/>
      <c r="Q167" s="196"/>
    </row>
    <row r="168" spans="1:18" x14ac:dyDescent="0.35">
      <c r="A168" s="365"/>
      <c r="B168" s="186"/>
      <c r="C168" s="187"/>
      <c r="D168" s="187"/>
      <c r="E168" s="187"/>
      <c r="F168" s="187"/>
      <c r="G168" s="187"/>
      <c r="H168" s="187"/>
      <c r="I168" s="187"/>
      <c r="J168" s="187"/>
      <c r="K168" s="187"/>
      <c r="L168" s="187"/>
      <c r="M168" s="187"/>
      <c r="N168" s="187"/>
      <c r="O168" s="187"/>
      <c r="P168" s="187"/>
      <c r="Q168" s="196"/>
    </row>
    <row r="169" spans="1:18" x14ac:dyDescent="0.35">
      <c r="A169" s="365"/>
      <c r="B169" s="186"/>
      <c r="C169" s="187"/>
      <c r="D169" s="187"/>
      <c r="E169" s="187"/>
      <c r="F169" s="187"/>
      <c r="G169" s="187"/>
      <c r="H169" s="187"/>
      <c r="I169" s="187"/>
      <c r="J169" s="187"/>
      <c r="K169" s="187"/>
      <c r="L169" s="187"/>
      <c r="M169" s="187"/>
      <c r="N169" s="187"/>
      <c r="O169" s="187"/>
      <c r="P169" s="187"/>
      <c r="Q169" s="196"/>
    </row>
    <row r="170" spans="1:18" x14ac:dyDescent="0.35">
      <c r="A170" s="365"/>
      <c r="B170" s="186"/>
      <c r="C170" s="187"/>
      <c r="D170" s="187"/>
      <c r="E170" s="187"/>
      <c r="F170" s="187"/>
      <c r="G170" s="187"/>
      <c r="H170" s="187"/>
      <c r="I170" s="187"/>
      <c r="J170" s="187"/>
      <c r="K170" s="187"/>
      <c r="L170" s="187"/>
      <c r="M170" s="187"/>
      <c r="N170" s="187"/>
      <c r="O170" s="187"/>
      <c r="P170" s="187"/>
      <c r="Q170" s="196"/>
    </row>
    <row r="171" spans="1:18" ht="18" x14ac:dyDescent="0.35">
      <c r="A171" s="365"/>
      <c r="B171" s="186"/>
      <c r="C171" s="188"/>
      <c r="D171" s="187"/>
      <c r="E171" s="187"/>
      <c r="F171" s="187"/>
      <c r="G171" s="187"/>
      <c r="H171" s="187"/>
      <c r="I171" s="187"/>
      <c r="J171" s="187"/>
      <c r="K171" s="187"/>
      <c r="L171" s="187"/>
      <c r="M171" s="187"/>
      <c r="N171" s="187"/>
      <c r="O171" s="187"/>
      <c r="P171" s="187"/>
      <c r="Q171" s="196"/>
    </row>
    <row r="172" spans="1:18" x14ac:dyDescent="0.35">
      <c r="A172" s="365"/>
      <c r="B172" s="186"/>
      <c r="C172" s="187"/>
      <c r="D172" s="187"/>
      <c r="E172" s="187"/>
      <c r="F172" s="187"/>
      <c r="G172" s="187"/>
      <c r="H172" s="187"/>
      <c r="I172" s="187"/>
      <c r="J172" s="187"/>
      <c r="K172" s="187"/>
      <c r="L172" s="187"/>
      <c r="M172" s="187"/>
      <c r="N172" s="187"/>
      <c r="O172" s="187"/>
      <c r="P172" s="187"/>
      <c r="Q172" s="196"/>
    </row>
    <row r="173" spans="1:18" x14ac:dyDescent="0.35">
      <c r="A173" s="365"/>
      <c r="B173" s="186"/>
      <c r="C173" s="187"/>
      <c r="D173" s="187"/>
      <c r="E173" s="187"/>
      <c r="F173" s="187"/>
      <c r="G173" s="187"/>
      <c r="H173" s="187"/>
      <c r="I173" s="187"/>
      <c r="J173" s="187"/>
      <c r="K173" s="187"/>
      <c r="L173" s="187"/>
      <c r="M173" s="187"/>
      <c r="N173" s="187"/>
      <c r="O173" s="187"/>
      <c r="P173" s="187"/>
      <c r="Q173" s="196"/>
    </row>
    <row r="174" spans="1:18" x14ac:dyDescent="0.35">
      <c r="A174" s="365"/>
      <c r="B174" s="186"/>
      <c r="C174" s="187"/>
      <c r="D174" s="187"/>
      <c r="E174" s="187"/>
      <c r="F174" s="187"/>
      <c r="G174" s="187"/>
      <c r="H174" s="187"/>
      <c r="I174" s="187"/>
      <c r="J174" s="187"/>
      <c r="K174" s="187"/>
      <c r="L174" s="187"/>
      <c r="M174" s="187"/>
      <c r="N174" s="187"/>
      <c r="O174" s="187"/>
      <c r="P174" s="187"/>
      <c r="Q174" s="196"/>
    </row>
    <row r="175" spans="1:18" x14ac:dyDescent="0.35">
      <c r="A175" s="365"/>
      <c r="B175" s="186"/>
      <c r="C175" s="187"/>
      <c r="D175" s="187"/>
      <c r="E175" s="187"/>
      <c r="F175" s="187"/>
      <c r="G175" s="187"/>
      <c r="H175" s="187"/>
      <c r="I175" s="187"/>
      <c r="J175" s="187"/>
      <c r="K175" s="187"/>
      <c r="L175" s="187"/>
      <c r="M175" s="187"/>
      <c r="N175" s="187"/>
      <c r="O175" s="187"/>
      <c r="P175" s="187"/>
      <c r="Q175" s="196"/>
    </row>
    <row r="176" spans="1:18" x14ac:dyDescent="0.35">
      <c r="A176" s="365"/>
      <c r="B176" s="186"/>
      <c r="C176" s="187"/>
      <c r="D176" s="187"/>
      <c r="E176" s="187"/>
      <c r="F176" s="187"/>
      <c r="G176" s="187"/>
      <c r="H176" s="187"/>
      <c r="I176" s="187"/>
      <c r="J176" s="187"/>
      <c r="K176" s="187"/>
      <c r="L176" s="187"/>
      <c r="M176" s="187"/>
      <c r="N176" s="187"/>
      <c r="O176" s="187"/>
      <c r="P176" s="187"/>
      <c r="Q176" s="196"/>
    </row>
    <row r="177" spans="1:19" x14ac:dyDescent="0.35">
      <c r="A177" s="365"/>
      <c r="B177" s="186"/>
      <c r="C177" s="187"/>
      <c r="D177" s="187"/>
      <c r="E177" s="187"/>
      <c r="F177" s="187"/>
      <c r="G177" s="187"/>
      <c r="H177" s="187"/>
      <c r="I177" s="187"/>
      <c r="J177" s="187"/>
      <c r="K177" s="187"/>
      <c r="L177" s="187"/>
      <c r="M177" s="187"/>
      <c r="N177" s="187"/>
      <c r="O177" s="187"/>
      <c r="P177" s="187"/>
      <c r="Q177" s="196"/>
    </row>
    <row r="178" spans="1:19" x14ac:dyDescent="0.35">
      <c r="A178" s="365"/>
      <c r="B178" s="186"/>
      <c r="C178" s="187"/>
      <c r="D178" s="187"/>
      <c r="E178" s="187"/>
      <c r="F178" s="187"/>
      <c r="G178" s="187"/>
      <c r="H178" s="187"/>
      <c r="I178" s="187"/>
      <c r="J178" s="187"/>
      <c r="K178" s="187"/>
      <c r="L178" s="187"/>
      <c r="M178" s="187"/>
      <c r="N178" s="187"/>
      <c r="O178" s="187"/>
      <c r="P178" s="187"/>
      <c r="Q178" s="196"/>
    </row>
    <row r="179" spans="1:19" x14ac:dyDescent="0.35">
      <c r="A179" s="365"/>
      <c r="B179" s="186"/>
      <c r="C179" s="187"/>
      <c r="D179" s="187"/>
      <c r="E179" s="187"/>
      <c r="F179" s="187"/>
      <c r="G179" s="187"/>
      <c r="H179" s="187"/>
      <c r="I179" s="187"/>
      <c r="J179" s="187"/>
      <c r="K179" s="187"/>
      <c r="L179" s="187"/>
      <c r="M179" s="187"/>
      <c r="N179" s="187"/>
      <c r="O179" s="187"/>
      <c r="P179" s="187"/>
      <c r="Q179" s="196"/>
    </row>
    <row r="180" spans="1:19" x14ac:dyDescent="0.35">
      <c r="A180" s="365"/>
      <c r="B180" s="186"/>
      <c r="C180" s="187"/>
      <c r="D180" s="187"/>
      <c r="E180" s="187"/>
      <c r="F180" s="187"/>
      <c r="G180" s="187"/>
      <c r="H180" s="187"/>
      <c r="I180" s="187"/>
      <c r="J180" s="187"/>
      <c r="K180" s="187"/>
      <c r="L180" s="187"/>
      <c r="M180" s="187"/>
      <c r="N180" s="187"/>
      <c r="O180" s="187"/>
      <c r="P180" s="187"/>
      <c r="Q180" s="196"/>
    </row>
    <row r="181" spans="1:19" x14ac:dyDescent="0.35">
      <c r="A181" s="365"/>
      <c r="B181" s="186"/>
      <c r="C181" s="187"/>
      <c r="D181" s="187"/>
      <c r="E181" s="187"/>
      <c r="F181" s="187"/>
      <c r="G181" s="187"/>
      <c r="H181" s="187"/>
      <c r="I181" s="187"/>
      <c r="J181" s="187"/>
      <c r="K181" s="187"/>
      <c r="L181" s="187"/>
      <c r="M181" s="187"/>
      <c r="N181" s="187"/>
      <c r="O181" s="187"/>
      <c r="P181" s="187"/>
      <c r="Q181" s="196"/>
    </row>
    <row r="182" spans="1:19" x14ac:dyDescent="0.35">
      <c r="A182" s="365"/>
      <c r="B182" s="186"/>
      <c r="C182" s="187"/>
      <c r="D182" s="187"/>
      <c r="E182" s="187"/>
      <c r="F182" s="187"/>
      <c r="G182" s="187"/>
      <c r="H182" s="187"/>
      <c r="I182" s="187"/>
      <c r="J182" s="187"/>
      <c r="K182" s="187"/>
      <c r="L182" s="187"/>
      <c r="M182" s="187"/>
      <c r="N182" s="187"/>
      <c r="O182" s="187"/>
      <c r="P182" s="187"/>
      <c r="Q182" s="196"/>
    </row>
    <row r="183" spans="1:19" x14ac:dyDescent="0.35">
      <c r="A183" s="365"/>
      <c r="B183" s="186"/>
      <c r="C183" s="187"/>
      <c r="D183" s="187"/>
      <c r="E183" s="187"/>
      <c r="F183" s="187"/>
      <c r="G183" s="187"/>
      <c r="H183" s="187"/>
      <c r="I183" s="187"/>
      <c r="J183" s="187"/>
      <c r="K183" s="187"/>
      <c r="L183" s="187"/>
      <c r="M183" s="187"/>
      <c r="N183" s="187"/>
      <c r="O183" s="187"/>
      <c r="P183" s="187"/>
      <c r="Q183" s="196"/>
    </row>
    <row r="184" spans="1:19" x14ac:dyDescent="0.35">
      <c r="A184" s="365"/>
      <c r="B184" s="223" t="str">
        <f>'Backroom - question input'!C127</f>
        <v>*Image adapted from New Zealand Ministry for the Environment (2022)</v>
      </c>
      <c r="C184" s="187"/>
      <c r="D184" s="187"/>
      <c r="E184" s="187"/>
      <c r="F184" s="187"/>
      <c r="G184" s="187"/>
      <c r="H184" s="187"/>
      <c r="I184" s="187"/>
      <c r="J184" s="187"/>
      <c r="K184" s="187"/>
      <c r="L184" s="187"/>
      <c r="M184" s="187"/>
      <c r="N184" s="187"/>
      <c r="O184" s="187"/>
      <c r="P184" s="187"/>
      <c r="Q184" s="196"/>
    </row>
    <row r="185" spans="1:19" ht="24.65" customHeight="1" x14ac:dyDescent="0.35">
      <c r="A185" s="365"/>
      <c r="B185" s="397" t="str">
        <f>'Backroom - question input'!B130</f>
        <v>Thinking about your industry's current exposure and vulnerability, what PARA framework actions have been taken to manage the impacts from climate hazards?</v>
      </c>
      <c r="C185" s="397"/>
      <c r="D185" s="397"/>
      <c r="E185" s="397"/>
      <c r="F185" s="397"/>
      <c r="G185" s="397"/>
      <c r="H185" s="397"/>
      <c r="I185" s="397"/>
      <c r="J185" s="397"/>
      <c r="K185" s="397"/>
      <c r="L185" s="397"/>
      <c r="M185" s="397"/>
      <c r="N185" s="397"/>
      <c r="O185" s="397"/>
      <c r="P185" s="397"/>
      <c r="Q185" s="437"/>
    </row>
    <row r="186" spans="1:19" ht="24.65" customHeight="1" x14ac:dyDescent="0.35">
      <c r="A186" s="365"/>
      <c r="B186" s="189"/>
      <c r="C186" s="92"/>
      <c r="D186" s="92"/>
      <c r="E186" s="92"/>
      <c r="F186" s="92"/>
      <c r="G186" s="92"/>
      <c r="H186" s="92"/>
      <c r="I186" s="92"/>
      <c r="J186" s="92"/>
      <c r="K186" s="92"/>
      <c r="L186" s="92"/>
      <c r="M186" s="92"/>
      <c r="N186" s="92"/>
      <c r="O186" s="92"/>
      <c r="P186" s="92"/>
      <c r="Q186" s="197"/>
    </row>
    <row r="187" spans="1:19" x14ac:dyDescent="0.35">
      <c r="A187" s="365"/>
      <c r="H187" s="154" t="str">
        <f>'Backroom - question input'!B131</f>
        <v>Yes/No</v>
      </c>
      <c r="I187" s="427" t="str">
        <f>'Backroom - question input'!C131</f>
        <v>If yes, please explain and add specific comments about the risk management</v>
      </c>
      <c r="J187" s="427"/>
      <c r="K187" s="427"/>
      <c r="L187" s="427"/>
      <c r="M187" s="427"/>
      <c r="N187" s="427"/>
      <c r="O187" s="427"/>
      <c r="P187" s="427"/>
      <c r="Q187" s="428"/>
    </row>
    <row r="188" spans="1:19" ht="39.9" customHeight="1" x14ac:dyDescent="0.35">
      <c r="A188" s="365">
        <f>'Backroom - question input'!A132</f>
        <v>6.1</v>
      </c>
      <c r="B188" s="466" t="str">
        <f>'Backroom - question input'!B132</f>
        <v>Has a PROTECT action been taken? 
E.g. building seawall to protect site, protecting fields from flooding.</v>
      </c>
      <c r="C188" s="467"/>
      <c r="D188" s="467"/>
      <c r="E188" s="467"/>
      <c r="F188" s="467"/>
      <c r="G188" s="468"/>
      <c r="H188" s="303"/>
      <c r="I188" s="469"/>
      <c r="J188" s="470"/>
      <c r="K188" s="470"/>
      <c r="L188" s="470"/>
      <c r="M188" s="470"/>
      <c r="N188" s="470"/>
      <c r="O188" s="470"/>
      <c r="P188" s="470"/>
      <c r="Q188" s="470"/>
    </row>
    <row r="189" spans="1:19" ht="24" customHeight="1" x14ac:dyDescent="0.35">
      <c r="A189" s="365"/>
      <c r="P189" s="25" t="str">
        <f>IF(H188="Yes",'Backroom - question input'!D131,"")</f>
        <v/>
      </c>
      <c r="Q189" s="303"/>
    </row>
    <row r="190" spans="1:19" ht="24" customHeight="1" x14ac:dyDescent="0.35">
      <c r="A190" s="365"/>
      <c r="P190" s="25" t="str">
        <f>IF(Q189="Yes",'Backroom - question input'!E131,"")</f>
        <v/>
      </c>
      <c r="Q190" s="303"/>
      <c r="R190" s="190"/>
      <c r="S190" s="242"/>
    </row>
    <row r="191" spans="1:19" ht="39.9" customHeight="1" x14ac:dyDescent="0.35">
      <c r="A191" s="365">
        <f>'Backroom - question input'!A133</f>
        <v>6.2</v>
      </c>
      <c r="B191" s="466" t="str">
        <f>'Backroom - question input'!B133</f>
        <v>Has an ACCOMMODATE action been taken? 
E.g. raising buildings to allow flood water underneath.</v>
      </c>
      <c r="C191" s="467"/>
      <c r="D191" s="467"/>
      <c r="E191" s="467"/>
      <c r="F191" s="467"/>
      <c r="G191" s="468"/>
      <c r="H191" s="303"/>
      <c r="I191" s="471"/>
      <c r="J191" s="472"/>
      <c r="K191" s="472"/>
      <c r="L191" s="472"/>
      <c r="M191" s="472"/>
      <c r="N191" s="472"/>
      <c r="O191" s="472"/>
      <c r="P191" s="472"/>
      <c r="Q191" s="473"/>
    </row>
    <row r="192" spans="1:19" ht="24" customHeight="1" x14ac:dyDescent="0.35">
      <c r="A192" s="365"/>
      <c r="P192" s="25" t="str">
        <f>IF(H191="Yes",'Backroom - question input'!D131,"")</f>
        <v/>
      </c>
      <c r="Q192" s="303"/>
    </row>
    <row r="193" spans="1:18" ht="24" customHeight="1" x14ac:dyDescent="0.35">
      <c r="A193" s="365"/>
      <c r="P193" s="25" t="str">
        <f>IF(Q192="Yes",'Backroom - question input'!E131,"")</f>
        <v/>
      </c>
      <c r="Q193" s="303"/>
      <c r="R193" s="154"/>
    </row>
    <row r="194" spans="1:18" ht="39.9" customHeight="1" x14ac:dyDescent="0.35">
      <c r="A194" s="365">
        <f>'Backroom - question input'!A134</f>
        <v>6.3</v>
      </c>
      <c r="B194" s="466" t="str">
        <f>'Backroom - question input'!B134</f>
        <v>Has a RETREAT action been taken? 
E.g. planting crops in less flood prone fields, moving dive operations to heathier reefs.</v>
      </c>
      <c r="C194" s="467"/>
      <c r="D194" s="467"/>
      <c r="E194" s="467"/>
      <c r="F194" s="467"/>
      <c r="G194" s="468"/>
      <c r="H194" s="303"/>
      <c r="I194" s="471"/>
      <c r="J194" s="472"/>
      <c r="K194" s="472"/>
      <c r="L194" s="472"/>
      <c r="M194" s="472"/>
      <c r="N194" s="472"/>
      <c r="O194" s="472"/>
      <c r="P194" s="472"/>
      <c r="Q194" s="473"/>
    </row>
    <row r="195" spans="1:18" ht="24" customHeight="1" x14ac:dyDescent="0.35">
      <c r="A195" s="365"/>
      <c r="P195" s="25" t="str">
        <f>IF(H194="Yes",'Backroom - question input'!D131,"")</f>
        <v/>
      </c>
      <c r="Q195" s="303"/>
    </row>
    <row r="196" spans="1:18" ht="24" customHeight="1" x14ac:dyDescent="0.35">
      <c r="A196" s="365"/>
      <c r="P196" s="25" t="str">
        <f>IF(Q195="Yes",'Backroom - question input'!E131,"")</f>
        <v/>
      </c>
      <c r="Q196" s="303"/>
      <c r="R196" s="154"/>
    </row>
    <row r="197" spans="1:18" ht="39.9" customHeight="1" x14ac:dyDescent="0.35">
      <c r="A197" s="365">
        <f>'Backroom - question input'!A135</f>
        <v>6.4</v>
      </c>
      <c r="B197" s="466" t="str">
        <f>'Backroom - question input'!B135</f>
        <v>Has an AVOID action been taken? 
E.g. Restricting construction of new structures within 100m of coast of flood prone areas.</v>
      </c>
      <c r="C197" s="467"/>
      <c r="D197" s="467"/>
      <c r="E197" s="467"/>
      <c r="F197" s="467"/>
      <c r="G197" s="468"/>
      <c r="H197" s="303"/>
      <c r="I197" s="471"/>
      <c r="J197" s="472"/>
      <c r="K197" s="472"/>
      <c r="L197" s="472"/>
      <c r="M197" s="472"/>
      <c r="N197" s="472"/>
      <c r="O197" s="472"/>
      <c r="P197" s="472"/>
      <c r="Q197" s="473"/>
    </row>
    <row r="198" spans="1:18" ht="24" customHeight="1" x14ac:dyDescent="0.35">
      <c r="A198" s="365"/>
      <c r="P198" s="25" t="str">
        <f>IF(H197="Yes",'Backroom - question input'!D131,"")</f>
        <v/>
      </c>
      <c r="Q198" s="303"/>
    </row>
    <row r="199" spans="1:18" ht="24" customHeight="1" x14ac:dyDescent="0.35">
      <c r="A199" s="365"/>
      <c r="P199" s="25" t="str">
        <f>IF(Q198="Yes",'Backroom - question input'!E131,"")</f>
        <v/>
      </c>
      <c r="Q199" s="303"/>
      <c r="R199" s="154"/>
    </row>
    <row r="200" spans="1:18" x14ac:dyDescent="0.35">
      <c r="A200" s="365"/>
      <c r="Q200" s="19"/>
    </row>
    <row r="201" spans="1:18" ht="32.15" customHeight="1" x14ac:dyDescent="0.35">
      <c r="A201" s="365"/>
      <c r="B201" s="433" t="str">
        <f>'Backroom - question input'!B139</f>
        <v>7. Hazard forecasting awareness</v>
      </c>
      <c r="C201" s="434"/>
      <c r="D201" s="434"/>
      <c r="E201" s="434"/>
      <c r="F201" s="434"/>
      <c r="G201" s="434"/>
      <c r="H201" s="434"/>
      <c r="I201" s="434"/>
      <c r="J201" s="434"/>
      <c r="K201" s="434"/>
      <c r="L201" s="434"/>
      <c r="M201" s="434"/>
      <c r="N201" s="434"/>
      <c r="O201" s="434"/>
      <c r="P201" s="434"/>
      <c r="Q201" s="435"/>
    </row>
    <row r="202" spans="1:18" ht="47.15" customHeight="1" x14ac:dyDescent="0.35">
      <c r="A202" s="365"/>
      <c r="B202" s="474" t="str">
        <f>'Backroom - question input'!E139</f>
        <v>You have indicated that your industry experiences disruption and/or damage from climate hazards. The following questions are to understand if you are aware of the weather and climate forcasting resources and information products available to help manage the risks.</v>
      </c>
      <c r="C202" s="378"/>
      <c r="D202" s="378"/>
      <c r="E202" s="378"/>
      <c r="F202" s="378"/>
      <c r="G202" s="378"/>
      <c r="H202" s="378"/>
      <c r="I202" s="378"/>
      <c r="J202" s="378"/>
      <c r="K202" s="378"/>
      <c r="L202" s="378"/>
      <c r="M202" s="378"/>
      <c r="N202" s="378"/>
      <c r="O202" s="378"/>
      <c r="P202" s="378"/>
      <c r="Q202" s="475"/>
    </row>
    <row r="203" spans="1:18" ht="36.65" customHeight="1" x14ac:dyDescent="0.35">
      <c r="A203" s="365"/>
      <c r="B203" s="474"/>
      <c r="C203" s="378"/>
      <c r="D203" s="378"/>
      <c r="E203" s="378"/>
      <c r="F203" s="378"/>
      <c r="G203" s="378"/>
      <c r="H203" s="378"/>
      <c r="I203" s="378"/>
      <c r="J203" s="378"/>
      <c r="K203" s="378"/>
      <c r="L203" s="378"/>
      <c r="M203" s="199" t="str">
        <f>'Backroom - question input'!C139</f>
        <v>Yes/No</v>
      </c>
      <c r="N203" s="464" t="str">
        <f>'Backroom - question input'!D139</f>
        <v>For further information on these topics please see the below links:</v>
      </c>
      <c r="O203" s="464"/>
      <c r="P203" s="464"/>
      <c r="Q203" s="465"/>
    </row>
    <row r="204" spans="1:18" ht="50.15" customHeight="1" x14ac:dyDescent="0.35">
      <c r="A204" s="365">
        <f>'Backroom - question input'!A140</f>
        <v>7.1</v>
      </c>
      <c r="B204" s="466" t="str">
        <f>'Backroom - question input'!B140</f>
        <v>Does your industry use formal warning systems to forecast climate hazard events? 
(e.g. VMGD forcasting)</v>
      </c>
      <c r="C204" s="467"/>
      <c r="D204" s="467"/>
      <c r="E204" s="467"/>
      <c r="F204" s="467"/>
      <c r="G204" s="467"/>
      <c r="H204" s="467"/>
      <c r="I204" s="467"/>
      <c r="J204" s="467"/>
      <c r="K204" s="467"/>
      <c r="L204" s="468"/>
      <c r="M204" s="303"/>
      <c r="N204" s="463" t="str">
        <f>'Backroom - question input'!D140</f>
        <v>Vanuatu Meteorology &amp; Geo-Hazards Department: Formal Warning Systems</v>
      </c>
      <c r="O204" s="463"/>
      <c r="P204" s="463"/>
      <c r="Q204" s="463"/>
      <c r="R204" s="159"/>
    </row>
    <row r="205" spans="1:18" ht="39.9" customHeight="1" x14ac:dyDescent="0.35">
      <c r="A205" s="365">
        <f>'Backroom - question input'!A141</f>
        <v>7.2</v>
      </c>
      <c r="B205" s="466" t="str">
        <f>'Backroom - question input'!B141</f>
        <v>Does your industry use traditional indicators to notify of upcoming potential issues? 
(e.g. traditional observation of bird activity to warn of pending cyclone)</v>
      </c>
      <c r="C205" s="467"/>
      <c r="D205" s="467"/>
      <c r="E205" s="467"/>
      <c r="F205" s="467"/>
      <c r="G205" s="467"/>
      <c r="H205" s="467"/>
      <c r="I205" s="467"/>
      <c r="J205" s="467"/>
      <c r="K205" s="467"/>
      <c r="L205" s="468"/>
      <c r="M205" s="303"/>
      <c r="N205" s="463" t="str">
        <f>'Backroom - question input'!D141</f>
        <v>National Advisory Board on Climate Change &amp; Disaster Risk Reduction</v>
      </c>
      <c r="O205" s="463"/>
      <c r="P205" s="463"/>
      <c r="Q205" s="463"/>
    </row>
    <row r="206" spans="1:18" ht="60.9" customHeight="1" x14ac:dyDescent="0.35">
      <c r="A206" s="365">
        <f>'Backroom - question input'!A142</f>
        <v>7.3</v>
      </c>
      <c r="B206" s="466" t="str">
        <f>'Backroom - question input'!B142</f>
        <v>Does your industry use the Van KIRAP Climate Futures portal?</v>
      </c>
      <c r="C206" s="467"/>
      <c r="D206" s="467"/>
      <c r="E206" s="467"/>
      <c r="F206" s="467"/>
      <c r="G206" s="467"/>
      <c r="H206" s="467"/>
      <c r="I206" s="467"/>
      <c r="J206" s="467"/>
      <c r="K206" s="467"/>
      <c r="L206" s="468"/>
      <c r="M206" s="303"/>
      <c r="N206" s="463" t="str">
        <f>'Backroom - question input'!D142</f>
        <v>Van KIRAP Climate Futures Portal
User: test
Password: vanKirap123</v>
      </c>
      <c r="O206" s="463"/>
      <c r="P206" s="463"/>
      <c r="Q206" s="463"/>
    </row>
    <row r="207" spans="1:18" x14ac:dyDescent="0.35">
      <c r="A207" s="365"/>
      <c r="Q207" s="19"/>
    </row>
    <row r="208" spans="1:18" x14ac:dyDescent="0.35">
      <c r="A208" s="365"/>
      <c r="Q208" s="19"/>
    </row>
    <row r="209" spans="1:17" s="193" customFormat="1" ht="45.9" customHeight="1" x14ac:dyDescent="0.35">
      <c r="A209" s="367"/>
      <c r="B209" s="412" t="str">
        <f>'Backroom - question input'!B145</f>
        <v>Thank you. You have now completed the Rapid Climate Risk Assessment Framework response form. Please click here to be taken to the Results Report:</v>
      </c>
      <c r="C209" s="413"/>
      <c r="D209" s="413"/>
      <c r="E209" s="413"/>
      <c r="F209" s="413"/>
      <c r="G209" s="413"/>
      <c r="H209" s="413"/>
      <c r="I209" s="413"/>
      <c r="J209" s="414"/>
      <c r="K209" s="415" t="str">
        <f>'Backroom - question input'!B146</f>
        <v>View Results Report</v>
      </c>
      <c r="L209" s="415"/>
      <c r="M209" s="415"/>
      <c r="N209" s="415"/>
      <c r="O209" s="415"/>
      <c r="P209" s="415"/>
      <c r="Q209" s="415"/>
    </row>
    <row r="210" spans="1:17" x14ac:dyDescent="0.35">
      <c r="A210" s="365"/>
    </row>
    <row r="211" spans="1:17" x14ac:dyDescent="0.35">
      <c r="A211" s="365"/>
    </row>
    <row r="212" spans="1:17" x14ac:dyDescent="0.35">
      <c r="A212" s="365"/>
    </row>
    <row r="213" spans="1:17" x14ac:dyDescent="0.35">
      <c r="A213" s="365"/>
    </row>
    <row r="214" spans="1:17" x14ac:dyDescent="0.35">
      <c r="A214" s="365"/>
    </row>
    <row r="215" spans="1:17" x14ac:dyDescent="0.35">
      <c r="A215" s="365"/>
    </row>
    <row r="216" spans="1:17" x14ac:dyDescent="0.35">
      <c r="A216" s="365"/>
    </row>
    <row r="217" spans="1:17" x14ac:dyDescent="0.35">
      <c r="A217" s="365"/>
    </row>
    <row r="218" spans="1:17" x14ac:dyDescent="0.35">
      <c r="A218" s="365"/>
    </row>
    <row r="219" spans="1:17" x14ac:dyDescent="0.35">
      <c r="A219" s="365"/>
    </row>
    <row r="220" spans="1:17" x14ac:dyDescent="0.35">
      <c r="A220" s="365"/>
    </row>
    <row r="221" spans="1:17" x14ac:dyDescent="0.35">
      <c r="A221" s="365"/>
    </row>
    <row r="222" spans="1:17" x14ac:dyDescent="0.35">
      <c r="A222" s="365"/>
    </row>
    <row r="223" spans="1:17" x14ac:dyDescent="0.35">
      <c r="A223" s="365"/>
    </row>
  </sheetData>
  <sheetProtection algorithmName="SHA-512" hashValue="OT4mqi/UxDyyzxUa65R46CYqrzWhyUmUZGhZ6lixZ5/XMpxfaWrrBO0vEb0UCFFhx/HnJz8Kq67PDbbw4twZug==" saltValue="4WDE4SMujIRFz1Ae1gK5bg==" spinCount="100000" sheet="1" objects="1" scenarios="1"/>
  <mergeCells count="357">
    <mergeCell ref="B53:G53"/>
    <mergeCell ref="B80:N80"/>
    <mergeCell ref="B118:N118"/>
    <mergeCell ref="O80:Q80"/>
    <mergeCell ref="O118:Q118"/>
    <mergeCell ref="B2:H2"/>
    <mergeCell ref="J6:Q8"/>
    <mergeCell ref="J4:Q5"/>
    <mergeCell ref="D111:N111"/>
    <mergeCell ref="D112:N112"/>
    <mergeCell ref="D113:N113"/>
    <mergeCell ref="B106:Q106"/>
    <mergeCell ref="P100:Q100"/>
    <mergeCell ref="J101:K101"/>
    <mergeCell ref="L101:M101"/>
    <mergeCell ref="N101:O101"/>
    <mergeCell ref="P101:Q101"/>
    <mergeCell ref="J102:K102"/>
    <mergeCell ref="L102:M102"/>
    <mergeCell ref="N102:O102"/>
    <mergeCell ref="B107:Q107"/>
    <mergeCell ref="F101:G101"/>
    <mergeCell ref="F102:G102"/>
    <mergeCell ref="C108:N108"/>
    <mergeCell ref="J103:K103"/>
    <mergeCell ref="L103:M103"/>
    <mergeCell ref="N103:O103"/>
    <mergeCell ref="P103:Q103"/>
    <mergeCell ref="J104:K104"/>
    <mergeCell ref="L104:M104"/>
    <mergeCell ref="N104:O104"/>
    <mergeCell ref="P104:Q104"/>
    <mergeCell ref="F103:G103"/>
    <mergeCell ref="F104:G104"/>
    <mergeCell ref="H103:I103"/>
    <mergeCell ref="H104:I104"/>
    <mergeCell ref="P102:Q102"/>
    <mergeCell ref="J97:K97"/>
    <mergeCell ref="L97:M97"/>
    <mergeCell ref="N97:O97"/>
    <mergeCell ref="P97:Q97"/>
    <mergeCell ref="J98:K98"/>
    <mergeCell ref="L98:M98"/>
    <mergeCell ref="N98:O98"/>
    <mergeCell ref="P98:Q98"/>
    <mergeCell ref="J99:K99"/>
    <mergeCell ref="L99:M99"/>
    <mergeCell ref="N99:O99"/>
    <mergeCell ref="P99:Q99"/>
    <mergeCell ref="J100:K100"/>
    <mergeCell ref="L100:M100"/>
    <mergeCell ref="N100:O100"/>
    <mergeCell ref="J94:K94"/>
    <mergeCell ref="L94:M94"/>
    <mergeCell ref="N94:O94"/>
    <mergeCell ref="P94:Q94"/>
    <mergeCell ref="J95:K95"/>
    <mergeCell ref="L95:M95"/>
    <mergeCell ref="N95:O95"/>
    <mergeCell ref="P95:Q95"/>
    <mergeCell ref="J96:K96"/>
    <mergeCell ref="L96:M96"/>
    <mergeCell ref="N96:O96"/>
    <mergeCell ref="P96:Q96"/>
    <mergeCell ref="J91:K91"/>
    <mergeCell ref="L91:M91"/>
    <mergeCell ref="N91:O91"/>
    <mergeCell ref="P91:Q91"/>
    <mergeCell ref="J92:K92"/>
    <mergeCell ref="L92:M92"/>
    <mergeCell ref="N92:O92"/>
    <mergeCell ref="P92:Q92"/>
    <mergeCell ref="J93:K93"/>
    <mergeCell ref="L93:M93"/>
    <mergeCell ref="N93:O93"/>
    <mergeCell ref="P93:Q93"/>
    <mergeCell ref="L88:M88"/>
    <mergeCell ref="N88:O88"/>
    <mergeCell ref="P88:Q88"/>
    <mergeCell ref="J89:K89"/>
    <mergeCell ref="L89:M89"/>
    <mergeCell ref="N89:O89"/>
    <mergeCell ref="P89:Q89"/>
    <mergeCell ref="J90:K90"/>
    <mergeCell ref="L90:M90"/>
    <mergeCell ref="N90:O90"/>
    <mergeCell ref="P90:Q90"/>
    <mergeCell ref="H101:I101"/>
    <mergeCell ref="H102:I102"/>
    <mergeCell ref="H93:I93"/>
    <mergeCell ref="J83:K83"/>
    <mergeCell ref="L83:M83"/>
    <mergeCell ref="N83:O83"/>
    <mergeCell ref="P83:Q83"/>
    <mergeCell ref="J84:K84"/>
    <mergeCell ref="L84:M84"/>
    <mergeCell ref="N84:O84"/>
    <mergeCell ref="P84:Q84"/>
    <mergeCell ref="J85:K85"/>
    <mergeCell ref="L85:M85"/>
    <mergeCell ref="N85:O85"/>
    <mergeCell ref="P85:Q85"/>
    <mergeCell ref="J86:K86"/>
    <mergeCell ref="L86:M86"/>
    <mergeCell ref="N86:O86"/>
    <mergeCell ref="P86:Q86"/>
    <mergeCell ref="J87:K87"/>
    <mergeCell ref="L87:M87"/>
    <mergeCell ref="N87:O87"/>
    <mergeCell ref="P87:Q87"/>
    <mergeCell ref="J88:K88"/>
    <mergeCell ref="F99:G99"/>
    <mergeCell ref="F100:G100"/>
    <mergeCell ref="D91:E91"/>
    <mergeCell ref="D93:E93"/>
    <mergeCell ref="H94:I94"/>
    <mergeCell ref="H95:I95"/>
    <mergeCell ref="H96:I96"/>
    <mergeCell ref="H97:I97"/>
    <mergeCell ref="H98:I98"/>
    <mergeCell ref="H99:I99"/>
    <mergeCell ref="H100:I100"/>
    <mergeCell ref="D84:E84"/>
    <mergeCell ref="D100:E100"/>
    <mergeCell ref="D89:E89"/>
    <mergeCell ref="D90:E90"/>
    <mergeCell ref="D101:E101"/>
    <mergeCell ref="D102:E102"/>
    <mergeCell ref="D103:E103"/>
    <mergeCell ref="D104:E104"/>
    <mergeCell ref="F83:G83"/>
    <mergeCell ref="F84:G84"/>
    <mergeCell ref="F85:G85"/>
    <mergeCell ref="F86:G86"/>
    <mergeCell ref="F87:G87"/>
    <mergeCell ref="F88:G88"/>
    <mergeCell ref="F89:G89"/>
    <mergeCell ref="F90:G90"/>
    <mergeCell ref="F91:G91"/>
    <mergeCell ref="F92:G92"/>
    <mergeCell ref="F93:G93"/>
    <mergeCell ref="F94:G94"/>
    <mergeCell ref="F95:G95"/>
    <mergeCell ref="F96:G96"/>
    <mergeCell ref="F97:G97"/>
    <mergeCell ref="F98:G98"/>
    <mergeCell ref="G39:Q39"/>
    <mergeCell ref="D81:E81"/>
    <mergeCell ref="F81:G81"/>
    <mergeCell ref="H81:I81"/>
    <mergeCell ref="J81:K81"/>
    <mergeCell ref="L81:M81"/>
    <mergeCell ref="N81:O81"/>
    <mergeCell ref="P81:Q81"/>
    <mergeCell ref="D82:E82"/>
    <mergeCell ref="F82:G82"/>
    <mergeCell ref="H82:I82"/>
    <mergeCell ref="J82:K82"/>
    <mergeCell ref="L82:M82"/>
    <mergeCell ref="N82:O82"/>
    <mergeCell ref="P82:Q82"/>
    <mergeCell ref="B70:Q70"/>
    <mergeCell ref="B79:Q79"/>
    <mergeCell ref="B65:G65"/>
    <mergeCell ref="L48:Q48"/>
    <mergeCell ref="B47:Q47"/>
    <mergeCell ref="B50:Q50"/>
    <mergeCell ref="K67:Q67"/>
    <mergeCell ref="J56:K56"/>
    <mergeCell ref="D72:N72"/>
    <mergeCell ref="F12:Q12"/>
    <mergeCell ref="L2:Q2"/>
    <mergeCell ref="L1:Q1"/>
    <mergeCell ref="B10:Q10"/>
    <mergeCell ref="B14:Q14"/>
    <mergeCell ref="B20:Q20"/>
    <mergeCell ref="G45:Q45"/>
    <mergeCell ref="B35:Q35"/>
    <mergeCell ref="G33:Q33"/>
    <mergeCell ref="G32:Q32"/>
    <mergeCell ref="G31:Q31"/>
    <mergeCell ref="G30:Q30"/>
    <mergeCell ref="G29:Q29"/>
    <mergeCell ref="G28:Q28"/>
    <mergeCell ref="G27:Q27"/>
    <mergeCell ref="G36:O36"/>
    <mergeCell ref="B37:E37"/>
    <mergeCell ref="B38:E38"/>
    <mergeCell ref="B39:E39"/>
    <mergeCell ref="B1:E1"/>
    <mergeCell ref="B40:E40"/>
    <mergeCell ref="G37:Q37"/>
    <mergeCell ref="G25:Q25"/>
    <mergeCell ref="G24:Q24"/>
    <mergeCell ref="C33:E33"/>
    <mergeCell ref="G26:Q26"/>
    <mergeCell ref="B41:E41"/>
    <mergeCell ref="B42:E42"/>
    <mergeCell ref="B43:E43"/>
    <mergeCell ref="I61:Q61"/>
    <mergeCell ref="I62:Q62"/>
    <mergeCell ref="I63:Q63"/>
    <mergeCell ref="I64:Q64"/>
    <mergeCell ref="B61:G61"/>
    <mergeCell ref="B62:G62"/>
    <mergeCell ref="L49:Q49"/>
    <mergeCell ref="D48:K48"/>
    <mergeCell ref="D49:K49"/>
    <mergeCell ref="B63:G63"/>
    <mergeCell ref="B64:G64"/>
    <mergeCell ref="B49:C49"/>
    <mergeCell ref="B57:C57"/>
    <mergeCell ref="B52:Q52"/>
    <mergeCell ref="B59:Q59"/>
    <mergeCell ref="P55:Q55"/>
    <mergeCell ref="D56:E56"/>
    <mergeCell ref="F56:G56"/>
    <mergeCell ref="H56:I56"/>
    <mergeCell ref="C24:E24"/>
    <mergeCell ref="C25:E25"/>
    <mergeCell ref="C26:E26"/>
    <mergeCell ref="C27:E27"/>
    <mergeCell ref="C28:E28"/>
    <mergeCell ref="C29:E29"/>
    <mergeCell ref="C30:E30"/>
    <mergeCell ref="C31:E31"/>
    <mergeCell ref="C32:E32"/>
    <mergeCell ref="N206:Q206"/>
    <mergeCell ref="N203:Q203"/>
    <mergeCell ref="B204:L204"/>
    <mergeCell ref="B205:L205"/>
    <mergeCell ref="B206:L206"/>
    <mergeCell ref="I188:Q188"/>
    <mergeCell ref="I191:Q191"/>
    <mergeCell ref="I194:Q194"/>
    <mergeCell ref="I197:Q197"/>
    <mergeCell ref="B188:G188"/>
    <mergeCell ref="B191:G191"/>
    <mergeCell ref="B194:G194"/>
    <mergeCell ref="B197:G197"/>
    <mergeCell ref="B203:L203"/>
    <mergeCell ref="B202:Q202"/>
    <mergeCell ref="B201:Q201"/>
    <mergeCell ref="N204:Q204"/>
    <mergeCell ref="N205:Q205"/>
    <mergeCell ref="D83:E83"/>
    <mergeCell ref="D109:N109"/>
    <mergeCell ref="D110:N110"/>
    <mergeCell ref="H83:I83"/>
    <mergeCell ref="H84:I84"/>
    <mergeCell ref="D85:E85"/>
    <mergeCell ref="D86:E86"/>
    <mergeCell ref="D87:E87"/>
    <mergeCell ref="D88:E88"/>
    <mergeCell ref="H85:I85"/>
    <mergeCell ref="H86:I86"/>
    <mergeCell ref="H87:I87"/>
    <mergeCell ref="H88:I88"/>
    <mergeCell ref="H89:I89"/>
    <mergeCell ref="H90:I90"/>
    <mergeCell ref="D92:E92"/>
    <mergeCell ref="H91:I91"/>
    <mergeCell ref="H92:I92"/>
    <mergeCell ref="D94:E94"/>
    <mergeCell ref="D95:E95"/>
    <mergeCell ref="D96:E96"/>
    <mergeCell ref="D97:E97"/>
    <mergeCell ref="D98:E98"/>
    <mergeCell ref="D99:E99"/>
    <mergeCell ref="C166:Q166"/>
    <mergeCell ref="B161:Q161"/>
    <mergeCell ref="B185:Q185"/>
    <mergeCell ref="B158:O158"/>
    <mergeCell ref="D114:N114"/>
    <mergeCell ref="C124:C126"/>
    <mergeCell ref="B116:Q116"/>
    <mergeCell ref="P117:Q117"/>
    <mergeCell ref="D124:E125"/>
    <mergeCell ref="F124:G125"/>
    <mergeCell ref="H124:I125"/>
    <mergeCell ref="J124:K125"/>
    <mergeCell ref="L124:M125"/>
    <mergeCell ref="N124:O125"/>
    <mergeCell ref="B152:Q152"/>
    <mergeCell ref="B119:C122"/>
    <mergeCell ref="D119:Q122"/>
    <mergeCell ref="B150:Q150"/>
    <mergeCell ref="B209:J209"/>
    <mergeCell ref="K209:Q209"/>
    <mergeCell ref="B117:O117"/>
    <mergeCell ref="P158:Q158"/>
    <mergeCell ref="B159:O159"/>
    <mergeCell ref="P159:Q159"/>
    <mergeCell ref="B162:Q162"/>
    <mergeCell ref="P153:Q153"/>
    <mergeCell ref="B153:O153"/>
    <mergeCell ref="B154:O154"/>
    <mergeCell ref="B155:O155"/>
    <mergeCell ref="P155:Q155"/>
    <mergeCell ref="B156:O156"/>
    <mergeCell ref="P156:Q156"/>
    <mergeCell ref="B157:O157"/>
    <mergeCell ref="I187:Q187"/>
    <mergeCell ref="C163:Q163"/>
    <mergeCell ref="C164:P164"/>
    <mergeCell ref="C165:Q165"/>
    <mergeCell ref="B124:B126"/>
    <mergeCell ref="P157:Q157"/>
    <mergeCell ref="B151:Q151"/>
    <mergeCell ref="P124:Q125"/>
    <mergeCell ref="P154:Q154"/>
    <mergeCell ref="D73:N73"/>
    <mergeCell ref="D74:N74"/>
    <mergeCell ref="D75:N75"/>
    <mergeCell ref="D76:N76"/>
    <mergeCell ref="D77:N77"/>
    <mergeCell ref="B55:C55"/>
    <mergeCell ref="O54:Q54"/>
    <mergeCell ref="B54:N54"/>
    <mergeCell ref="B69:Q69"/>
    <mergeCell ref="N56:O56"/>
    <mergeCell ref="P56:Q56"/>
    <mergeCell ref="D55:E55"/>
    <mergeCell ref="F55:G55"/>
    <mergeCell ref="H55:I55"/>
    <mergeCell ref="J55:K55"/>
    <mergeCell ref="L55:M55"/>
    <mergeCell ref="B66:G66"/>
    <mergeCell ref="I66:Q66"/>
    <mergeCell ref="I65:Q65"/>
    <mergeCell ref="N55:O55"/>
    <mergeCell ref="L56:M56"/>
    <mergeCell ref="B68:Q68"/>
    <mergeCell ref="B44:E44"/>
    <mergeCell ref="B45:E45"/>
    <mergeCell ref="B56:C56"/>
    <mergeCell ref="D57:Q57"/>
    <mergeCell ref="B48:C48"/>
    <mergeCell ref="B12:E12"/>
    <mergeCell ref="B18:E18"/>
    <mergeCell ref="G15:O15"/>
    <mergeCell ref="G22:Q22"/>
    <mergeCell ref="G21:O21"/>
    <mergeCell ref="B16:E16"/>
    <mergeCell ref="B17:E17"/>
    <mergeCell ref="G18:Q18"/>
    <mergeCell ref="G17:Q17"/>
    <mergeCell ref="G16:Q16"/>
    <mergeCell ref="G44:Q44"/>
    <mergeCell ref="G23:Q23"/>
    <mergeCell ref="G38:Q38"/>
    <mergeCell ref="G40:Q40"/>
    <mergeCell ref="G41:Q41"/>
    <mergeCell ref="G42:Q42"/>
    <mergeCell ref="G43:Q43"/>
    <mergeCell ref="C22:E22"/>
    <mergeCell ref="C23:E23"/>
  </mergeCells>
  <conditionalFormatting sqref="B153:O159">
    <cfRule type="containsBlanks" dxfId="268" priority="7">
      <formula>LEN(TRIM(B153))=0</formula>
    </cfRule>
  </conditionalFormatting>
  <conditionalFormatting sqref="B155:O159 B154:Q154 P156:Q156 P158:Q158">
    <cfRule type="expression" dxfId="267" priority="23">
      <formula>$B$154=""</formula>
    </cfRule>
  </conditionalFormatting>
  <conditionalFormatting sqref="B155:O159">
    <cfRule type="expression" dxfId="266" priority="22">
      <formula>$B$155=""</formula>
    </cfRule>
  </conditionalFormatting>
  <conditionalFormatting sqref="B156:O159">
    <cfRule type="expression" dxfId="265" priority="21">
      <formula>$B$156=""</formula>
    </cfRule>
  </conditionalFormatting>
  <conditionalFormatting sqref="B157:O159">
    <cfRule type="expression" dxfId="264" priority="20">
      <formula>$B$157=""</formula>
    </cfRule>
  </conditionalFormatting>
  <conditionalFormatting sqref="B158:O159">
    <cfRule type="expression" dxfId="263" priority="19">
      <formula>$B$158=""</formula>
    </cfRule>
  </conditionalFormatting>
  <conditionalFormatting sqref="B159:O159">
    <cfRule type="expression" dxfId="262" priority="18">
      <formula>$B$159=""</formula>
    </cfRule>
  </conditionalFormatting>
  <conditionalFormatting sqref="B82:Q82 D83:Q104 B127:Q127 K128:K149">
    <cfRule type="expression" dxfId="261" priority="33">
      <formula>$C$82=0</formula>
    </cfRule>
  </conditionalFormatting>
  <conditionalFormatting sqref="B83:Q83 B128:Q128">
    <cfRule type="expression" dxfId="260" priority="34">
      <formula>$C$83=0</formula>
    </cfRule>
  </conditionalFormatting>
  <conditionalFormatting sqref="B84:Q84 B129:Q129">
    <cfRule type="expression" dxfId="259" priority="35">
      <formula>$C$84=0</formula>
    </cfRule>
  </conditionalFormatting>
  <conditionalFormatting sqref="B85:Q85 H86:I104 B130:Q130">
    <cfRule type="expression" dxfId="258" priority="36">
      <formula>$C$85=0</formula>
    </cfRule>
  </conditionalFormatting>
  <conditionalFormatting sqref="B86:Q86 B131:Q131">
    <cfRule type="expression" dxfId="257" priority="37">
      <formula>$C$86=0</formula>
    </cfRule>
  </conditionalFormatting>
  <conditionalFormatting sqref="B87:Q87 B132:Q132">
    <cfRule type="expression" dxfId="256" priority="38">
      <formula>$C$87=0</formula>
    </cfRule>
  </conditionalFormatting>
  <conditionalFormatting sqref="B88:Q88 B133:Q133">
    <cfRule type="expression" dxfId="255" priority="39">
      <formula>$C$88=0</formula>
    </cfRule>
  </conditionalFormatting>
  <conditionalFormatting sqref="B89:Q89 B134:Q134">
    <cfRule type="expression" dxfId="254" priority="40">
      <formula>$C$89=0</formula>
    </cfRule>
  </conditionalFormatting>
  <conditionalFormatting sqref="B90:Q90 B135:Q135">
    <cfRule type="expression" dxfId="253" priority="41">
      <formula>$C$90=0</formula>
    </cfRule>
  </conditionalFormatting>
  <conditionalFormatting sqref="B91:Q91 B136:Q136">
    <cfRule type="expression" dxfId="252" priority="42">
      <formula>$C$91=0</formula>
    </cfRule>
  </conditionalFormatting>
  <conditionalFormatting sqref="B92:Q92 B137:Q137">
    <cfRule type="expression" dxfId="251" priority="43">
      <formula>$C$92=0</formula>
    </cfRule>
  </conditionalFormatting>
  <conditionalFormatting sqref="B93:Q93 B138:Q138">
    <cfRule type="expression" dxfId="250" priority="44">
      <formula>$C$93=0</formula>
    </cfRule>
  </conditionalFormatting>
  <conditionalFormatting sqref="B94:Q94 B139:Q139">
    <cfRule type="expression" dxfId="249" priority="45">
      <formula>$C$94=0</formula>
    </cfRule>
  </conditionalFormatting>
  <conditionalFormatting sqref="B95:Q95 B140:Q140">
    <cfRule type="expression" dxfId="248" priority="46">
      <formula>$C$95=0</formula>
    </cfRule>
  </conditionalFormatting>
  <conditionalFormatting sqref="B96:Q96 B141:Q141">
    <cfRule type="expression" dxfId="247" priority="47">
      <formula>$C$96=0</formula>
    </cfRule>
  </conditionalFormatting>
  <conditionalFormatting sqref="B97:Q97 B142:Q142">
    <cfRule type="expression" dxfId="246" priority="48">
      <formula>$C$97=0</formula>
    </cfRule>
  </conditionalFormatting>
  <conditionalFormatting sqref="B98:Q98 B143:Q143">
    <cfRule type="expression" dxfId="245" priority="49">
      <formula>$C$98=0</formula>
    </cfRule>
  </conditionalFormatting>
  <conditionalFormatting sqref="B99:Q99 B144:Q144">
    <cfRule type="expression" dxfId="244" priority="50">
      <formula>$C$99=0</formula>
    </cfRule>
  </conditionalFormatting>
  <conditionalFormatting sqref="B100:Q100 B145:Q145">
    <cfRule type="expression" dxfId="243" priority="51">
      <formula>$C$100=0</formula>
    </cfRule>
  </conditionalFormatting>
  <conditionalFormatting sqref="B101:Q101 B146:Q146">
    <cfRule type="expression" dxfId="242" priority="52">
      <formula>$C$101=0</formula>
    </cfRule>
  </conditionalFormatting>
  <conditionalFormatting sqref="B102:Q102 B147:Q147">
    <cfRule type="expression" dxfId="241" priority="53">
      <formula>$C$102=0</formula>
    </cfRule>
  </conditionalFormatting>
  <conditionalFormatting sqref="B103:Q103 B148:Q148">
    <cfRule type="expression" dxfId="240" priority="54">
      <formula>$C$103=0</formula>
    </cfRule>
  </conditionalFormatting>
  <conditionalFormatting sqref="B104:Q104 B149:Q149">
    <cfRule type="expression" dxfId="239" priority="55">
      <formula>$C$104=0</formula>
    </cfRule>
  </conditionalFormatting>
  <conditionalFormatting sqref="D57:Q57">
    <cfRule type="expression" dxfId="237" priority="91">
      <formula>$B$57=""</formula>
    </cfRule>
  </conditionalFormatting>
  <conditionalFormatting sqref="D81:Q81 D124:Q126">
    <cfRule type="expression" dxfId="236" priority="6">
      <formula>$C$82=0</formula>
    </cfRule>
  </conditionalFormatting>
  <conditionalFormatting sqref="D82:Q104 D127:Q149">
    <cfRule type="cellIs" dxfId="235" priority="123" operator="equal">
      <formula>"E"</formula>
    </cfRule>
    <cfRule type="cellIs" dxfId="234" priority="119" operator="equal">
      <formula>"N/A"</formula>
    </cfRule>
    <cfRule type="cellIs" dxfId="233" priority="120" operator="equal">
      <formula>"L"</formula>
    </cfRule>
    <cfRule type="cellIs" dxfId="232" priority="121" operator="equal">
      <formula>"M"</formula>
    </cfRule>
    <cfRule type="cellIs" dxfId="231" priority="122" operator="equal">
      <formula>"H"</formula>
    </cfRule>
  </conditionalFormatting>
  <conditionalFormatting sqref="P155:Q155">
    <cfRule type="expression" dxfId="224" priority="5">
      <formula>$B$155=""</formula>
    </cfRule>
  </conditionalFormatting>
  <conditionalFormatting sqref="P156:Q156">
    <cfRule type="expression" dxfId="223" priority="4">
      <formula>$B$156=""</formula>
    </cfRule>
  </conditionalFormatting>
  <conditionalFormatting sqref="P157:Q157">
    <cfRule type="expression" dxfId="222" priority="3">
      <formula>$B$157=""</formula>
    </cfRule>
  </conditionalFormatting>
  <conditionalFormatting sqref="P158:Q158">
    <cfRule type="expression" dxfId="221" priority="2">
      <formula>$B$158=""</formula>
    </cfRule>
  </conditionalFormatting>
  <conditionalFormatting sqref="P159:Q159">
    <cfRule type="expression" dxfId="220" priority="1">
      <formula>$B$159=""</formula>
    </cfRule>
  </conditionalFormatting>
  <conditionalFormatting sqref="Q189">
    <cfRule type="expression" dxfId="219" priority="15">
      <formula>$H$188&lt;&gt;"Yes"</formula>
    </cfRule>
    <cfRule type="expression" dxfId="218" priority="32">
      <formula>$H$188&lt;&gt;"Yes"</formula>
    </cfRule>
  </conditionalFormatting>
  <conditionalFormatting sqref="Q189:Q190">
    <cfRule type="expression" dxfId="217" priority="17">
      <formula>$H$188&lt;&gt;"Yes"</formula>
    </cfRule>
  </conditionalFormatting>
  <conditionalFormatting sqref="Q190">
    <cfRule type="expression" dxfId="216" priority="16">
      <formula>$H$188&lt;&gt;"Yes"</formula>
    </cfRule>
    <cfRule type="expression" dxfId="215" priority="31">
      <formula>$Q$189&lt;&gt;"Yes"</formula>
    </cfRule>
  </conditionalFormatting>
  <conditionalFormatting sqref="Q192">
    <cfRule type="expression" dxfId="214" priority="14">
      <formula>$H$191&lt;&gt;"Yes"</formula>
    </cfRule>
    <cfRule type="expression" dxfId="213" priority="30">
      <formula>$H$191&lt;&gt;"Yes"</formula>
    </cfRule>
  </conditionalFormatting>
  <conditionalFormatting sqref="Q193">
    <cfRule type="expression" dxfId="212" priority="12">
      <formula>$H$191&lt;&gt;"Yes"</formula>
    </cfRule>
    <cfRule type="expression" dxfId="211" priority="29">
      <formula>$Q$192&lt;&gt;"Yes"</formula>
    </cfRule>
  </conditionalFormatting>
  <conditionalFormatting sqref="Q195">
    <cfRule type="expression" dxfId="210" priority="28">
      <formula>$H$194&lt;&gt;"Yes"</formula>
    </cfRule>
    <cfRule type="expression" dxfId="209" priority="11">
      <formula>$H$194&lt;&gt;"Yes"</formula>
    </cfRule>
  </conditionalFormatting>
  <conditionalFormatting sqref="Q196">
    <cfRule type="expression" dxfId="208" priority="27">
      <formula>$Q$195&lt;&gt;"Yes"</formula>
    </cfRule>
    <cfRule type="expression" dxfId="207" priority="10">
      <formula>$H$194&lt;&gt;"Yes"</formula>
    </cfRule>
  </conditionalFormatting>
  <conditionalFormatting sqref="Q198">
    <cfRule type="expression" dxfId="206" priority="26">
      <formula>$H$197&lt;&gt;"Yes"</formula>
    </cfRule>
    <cfRule type="expression" dxfId="205" priority="9">
      <formula>$H$197="Yes"</formula>
    </cfRule>
  </conditionalFormatting>
  <conditionalFormatting sqref="Q199">
    <cfRule type="expression" dxfId="204" priority="25">
      <formula>$Q$198&lt;&gt;"Yes"</formula>
    </cfRule>
    <cfRule type="expression" dxfId="203" priority="8">
      <formula>$H$197&lt;&gt;"Yes"</formula>
    </cfRule>
  </conditionalFormatting>
  <dataValidations count="5">
    <dataValidation type="textLength" operator="lessThanOrEqual" allowBlank="1" showInputMessage="1" showErrorMessage="1" error="Please keep description to 250 characters" sqref="F12:Q12" xr:uid="{BE7BD609-5701-4438-9873-685C5683979F}">
      <formula1>250</formula1>
    </dataValidation>
    <dataValidation type="textLength" operator="lessThan" allowBlank="1" showInputMessage="1" showErrorMessage="1" error="Please keep description to 300 characters" sqref="D119:Q122" xr:uid="{12854195-C1B9-4ACB-A14E-93071F7AFE34}">
      <formula1>300</formula1>
    </dataValidation>
    <dataValidation type="textLength" operator="lessThan" allowBlank="1" showInputMessage="1" showErrorMessage="1" error="Please keep description to 200 characters" sqref="I197:Q197 I188:Q188 I191:Q191 I194:Q194" xr:uid="{158FE2F6-52E2-4902-93A1-891000EA17E8}">
      <formula1>200</formula1>
    </dataValidation>
    <dataValidation type="textLength" operator="lessThan" allowBlank="1" showInputMessage="1" showErrorMessage="1" error="Please keep description to 100 characters" sqref="J6:Q8" xr:uid="{D847D088-628E-4480-8441-C573C1F5E786}">
      <formula1>100</formula1>
    </dataValidation>
    <dataValidation type="textLength" operator="lessThan" allowBlank="1" showInputMessage="1" showErrorMessage="1" error="Please keep  description to 120 characters" sqref="J4:Q5" xr:uid="{CF414E78-D4B8-4C70-856B-D2D0C9604E3F}">
      <formula1>120</formula1>
    </dataValidation>
  </dataValidations>
  <hyperlinks>
    <hyperlink ref="K209:Q209" location="'View Results Report'!A1" display="'View Results Report'!A1" xr:uid="{C072BFF2-AAF4-40F6-9526-C9A4382133B7}"/>
    <hyperlink ref="B3" location="'Response Form'!B10" display="1. Understanding Industry" xr:uid="{7DC79EBC-FB5F-4585-A8B0-5B5AF150E40C}"/>
    <hyperlink ref="B4" location="'Response Form'!B52" display="2. Exposure" xr:uid="{CC5A38C7-813E-4986-BC18-6BF853E50F3A}"/>
    <hyperlink ref="B5" location="'Response Form'!B106" display="3. Vulnerability" xr:uid="{190820FA-2EB8-409B-83C1-A04B001067A4}"/>
    <hyperlink ref="B6" location="'Response Form'!B147" display="'Response Form'!B147" xr:uid="{55CE8867-7C2E-4E15-941A-6BAB25D3D883}"/>
    <hyperlink ref="B8" location="'Response Form'!B201" display="6. Hazard Forecasting Information" xr:uid="{AB113718-DFEA-42D8-B77D-DDDF5664F3D2}"/>
    <hyperlink ref="B7" location="'Response Form'!B161" display="5. Adaptation" xr:uid="{201E53BE-9DEA-4B7A-AF1A-ACBC895D7B16}"/>
    <hyperlink ref="N204:Q204" r:id="rId1" display="https://www.vmgd.gov.vu/vmgd/index.php" xr:uid="{87F9545E-8B60-4F1F-AE63-638DEE27FD56}"/>
    <hyperlink ref="N205:Q205" r:id="rId2" display="https://www.nab.vu/" xr:uid="{625E7EDC-58FD-4292-802E-7A2330D1BE67}"/>
    <hyperlink ref="N206:Q206" r:id="rId3" display="https://www.vanclimatefutures.gov.vu/dashboard/home" xr:uid="{6BA07F82-CF5C-433F-A32A-17F48E507906}"/>
    <hyperlink ref="O54:Q54" location="Glossary!A1" display="Glossary!A1" xr:uid="{9CDB4415-0F17-46F3-834E-C76AE55348CB}"/>
    <hyperlink ref="B6:C6" location="'Response Form'!B151" display="4. Understanding Existing Climate Risk Management" xr:uid="{F3F97B77-5B01-4AB0-B5A3-6DE3B01A857B}"/>
    <hyperlink ref="B16:E16" location="Glossary!A10" display="Glossary!A10" xr:uid="{0963B913-E0C4-4658-BA9F-69CCEB7FD8AF}"/>
    <hyperlink ref="B17:E17" location="Glossary!A44" display="Glossary!A44" xr:uid="{180DAB7F-D64B-4F21-B264-5047C167466A}"/>
    <hyperlink ref="B18:E18" location="Glossary!A22" display="Glossary!A22" xr:uid="{014EF650-F9CF-4259-850E-EC2700DD5DDC}"/>
    <hyperlink ref="C22:E22" location="Glossary!A26" display="Glossary!A26" xr:uid="{40F04BF1-8496-42B8-A2AC-DECA6F6C31D9}"/>
    <hyperlink ref="C23:E23" location="Glossary!A36" display="Glossary!A36" xr:uid="{14511DA6-7711-4DD8-89C2-7B60EAC54B4D}"/>
    <hyperlink ref="C24:E24" location="Glossary!A5" display="Glossary!A5" xr:uid="{7A0F1B52-1738-4B3B-ACF3-E74673C7D161}"/>
    <hyperlink ref="C25:E25" location="Glossary!A43" display="Glossary!A43" xr:uid="{B1AAE3FC-1104-4B8B-B44B-B40E6DB9EBD4}"/>
    <hyperlink ref="C26:E26" location="Glossary!A16" display="Glossary!A16" xr:uid="{353DA002-B5F5-4A3B-8EDC-36E2D572066E}"/>
    <hyperlink ref="C27:E27" location="Glossary!A51" display="Glossary!A51" xr:uid="{7DFE73BB-9B1B-4A64-865A-A7B919D929BD}"/>
    <hyperlink ref="C28:E28" location="Glossary!A46" display="Glossary!A46" xr:uid="{650C3049-BBEB-4E80-9EB0-D98DD6AD8523}"/>
    <hyperlink ref="C29:E29" location="Glossary!A52" display="Glossary!A52" xr:uid="{26827A6E-A7AB-4841-86B5-683270614F65}"/>
    <hyperlink ref="C30:E30" location="Glossary!A42" display="Glossary!A42" xr:uid="{84810FEE-01D8-45E7-ABBE-FE4F819CC5BD}"/>
    <hyperlink ref="C31:E31" location="Glossary!A48" display="Glossary!A48" xr:uid="{04F8C2E6-7215-4132-92EE-4CB6218210BD}"/>
    <hyperlink ref="C32:E32" location="Glossary!A18" display="Glossary!A18" xr:uid="{E25AEC1B-C959-4372-8883-2D67FED08E77}"/>
    <hyperlink ref="B37:E37" location="Glossary!A33" display="Glossary!A33" xr:uid="{CE139BC0-0A65-46D2-A525-432F4E5EC54D}"/>
    <hyperlink ref="B38:E38" location="Glossary!A34" display="Glossary!A34" xr:uid="{977BE256-AF50-4BAB-BE2D-D46566B3CE68}"/>
    <hyperlink ref="B39:E39" location="Glossary!A32" display="Glossary!A32" xr:uid="{DD1A0772-8B81-4681-9877-3C2BBF7D2CFC}"/>
    <hyperlink ref="B40:E40" location="Glossary!A31" display="Glossary!A31" xr:uid="{0796B113-7D43-400C-9C9C-37B589970137}"/>
    <hyperlink ref="B41:E41" location="Glossary!A27" display="Glossary!A27" xr:uid="{6AF58FF5-4CB6-41D2-8D74-33839DEA6512}"/>
    <hyperlink ref="B42:E42" location="Glossary!A53" display="Glossary!A53" xr:uid="{19D8D38D-41C1-402F-B4DC-742C7BC40AE4}"/>
    <hyperlink ref="B43:E43" location="Glossary!A30" display="Glossary!A30" xr:uid="{F6C9D534-71B6-4E3F-B3F0-4065BB693B74}"/>
    <hyperlink ref="B44:E44" location="Glossary!A23" display="Glossary!A23" xr:uid="{B0EA9703-450B-4C5B-B327-0C32180C9BD7}"/>
    <hyperlink ref="B45:E45" location="Glossary!A12" display="Glossary!A12" xr:uid="{9B98EB2E-7695-4718-AD22-ABC46173653F}"/>
    <hyperlink ref="D55:E55" location="Glossary!A9" display="Glossary!A9" xr:uid="{1E1292E2-DD56-441D-ADCA-E432EB6D10D7}"/>
    <hyperlink ref="F55:G55" location="Glossary!A20" display="Glossary!A20" xr:uid="{64A6A8CD-B98D-475B-9504-5CE5E9EDF3E1}"/>
    <hyperlink ref="H55:I55" location="Glossary!A47" display="Glossary!A47" xr:uid="{D9C9F854-4689-4773-9761-DA1D8B658D82}"/>
    <hyperlink ref="J55:K55" location="Glossary!A14" display="Glossary!A14" xr:uid="{4EA06F3F-271E-413D-9167-C0DD2A8EFA59}"/>
    <hyperlink ref="L55:M55" location="Glossary!A28" display="Glossary!A28" xr:uid="{DA9AC7BF-4F89-4F14-B34D-5D047AE97910}"/>
    <hyperlink ref="N55:O55" location="Glossary!A29" display="Glossary!A29" xr:uid="{F70DE480-EC5C-4F3E-A3D4-C27E4961C33E}"/>
    <hyperlink ref="P55:Q55" location="Glossary!A21" display="Glossary!A21" xr:uid="{51459D1C-403F-4F11-9F9D-C5FFCA4B3C5D}"/>
    <hyperlink ref="B9" location="'Response Form'!B201" display="'Response Form'!B201" xr:uid="{15FF1DBC-CC34-4CF2-9D64-439368D83AE3}"/>
    <hyperlink ref="O118:Q118" r:id="rId4" display="https://www.vanclimatefutures.gov.vu/dashboard/home" xr:uid="{0354241A-EE30-4512-A5FA-B359D53DDEAA}"/>
    <hyperlink ref="O80:Q80" r:id="rId5" display="https://www.vanclimatefutures.gov.vu/dashboard/home" xr:uid="{124A0B40-E261-44E5-8EF5-602AED429762}"/>
  </hyperlinks>
  <pageMargins left="0.7" right="0.7" top="0.75" bottom="0.75" header="0.3" footer="0.3"/>
  <pageSetup paperSize="9" orientation="portrait" r:id="rId6"/>
  <drawing r:id="rId7"/>
  <extLst>
    <ext xmlns:x14="http://schemas.microsoft.com/office/spreadsheetml/2009/9/main" uri="{78C0D931-6437-407d-A8EE-F0AAD7539E65}">
      <x14:conditionalFormattings>
        <x14:conditionalFormatting xmlns:xm="http://schemas.microsoft.com/office/excel/2006/main">
          <x14:cfRule type="expression" priority="62" id="{8CDAB45D-16CE-4FDE-B918-3B604EC8391E}">
            <xm:f>'Backroom - question output calc'!$C$30=0</xm:f>
            <x14:dxf>
              <font>
                <color theme="0" tint="-0.499984740745262"/>
              </font>
              <fill>
                <patternFill>
                  <bgColor theme="0" tint="-0.24994659260841701"/>
                </patternFill>
              </fill>
            </x14:dxf>
          </x14:cfRule>
          <xm:sqref>D81:E104 D124:E149</xm:sqref>
        </x14:conditionalFormatting>
        <x14:conditionalFormatting xmlns:xm="http://schemas.microsoft.com/office/excel/2006/main">
          <x14:cfRule type="expression" priority="61" id="{307D38B8-36E1-45A9-96CC-27853C2E0B15}">
            <xm:f>'Backroom - question output calc'!$C$31=0</xm:f>
            <x14:dxf>
              <font>
                <color theme="0" tint="-0.499984740745262"/>
              </font>
              <fill>
                <patternFill>
                  <bgColor theme="0" tint="-0.24994659260841701"/>
                </patternFill>
              </fill>
            </x14:dxf>
          </x14:cfRule>
          <xm:sqref>F81:G104 F124:G149</xm:sqref>
        </x14:conditionalFormatting>
        <x14:conditionalFormatting xmlns:xm="http://schemas.microsoft.com/office/excel/2006/main">
          <x14:cfRule type="expression" priority="60" id="{9ED0A089-7D16-468A-B739-6F79219975EA}">
            <xm:f>'Backroom - question output calc'!$C$32=0</xm:f>
            <x14:dxf>
              <font>
                <color theme="0" tint="-0.499984740745262"/>
              </font>
              <fill>
                <patternFill>
                  <bgColor theme="0" tint="-0.24994659260841701"/>
                </patternFill>
              </fill>
            </x14:dxf>
          </x14:cfRule>
          <xm:sqref>H81:I104 H124:I149</xm:sqref>
        </x14:conditionalFormatting>
        <x14:conditionalFormatting xmlns:xm="http://schemas.microsoft.com/office/excel/2006/main">
          <x14:cfRule type="expression" priority="59" id="{81518012-02E0-4F77-B414-4E68EF5BA4B9}">
            <xm:f>'Backroom - question output calc'!$C$33=0</xm:f>
            <x14:dxf>
              <font>
                <color theme="0" tint="-0.499984740745262"/>
              </font>
              <fill>
                <patternFill>
                  <bgColor theme="0" tint="-0.24994659260841701"/>
                </patternFill>
              </fill>
            </x14:dxf>
          </x14:cfRule>
          <xm:sqref>J81:K104 J124:K149</xm:sqref>
        </x14:conditionalFormatting>
        <x14:conditionalFormatting xmlns:xm="http://schemas.microsoft.com/office/excel/2006/main">
          <x14:cfRule type="expression" priority="58" id="{36793952-817F-488E-94B1-52CAD9472ADE}">
            <xm:f>'Backroom - question output calc'!$C$34=0</xm:f>
            <x14:dxf>
              <font>
                <color theme="0" tint="-0.499984740745262"/>
              </font>
              <fill>
                <patternFill>
                  <bgColor theme="0" tint="-0.24994659260841701"/>
                </patternFill>
              </fill>
            </x14:dxf>
          </x14:cfRule>
          <xm:sqref>L81:M104 L124:M149</xm:sqref>
        </x14:conditionalFormatting>
        <x14:conditionalFormatting xmlns:xm="http://schemas.microsoft.com/office/excel/2006/main">
          <x14:cfRule type="expression" priority="57" id="{9276AF4F-9C60-4DB8-8DD6-66B279397F10}">
            <xm:f>'Backroom - question output calc'!$C$35=0</xm:f>
            <x14:dxf>
              <font>
                <color theme="0" tint="-0.499984740745262"/>
              </font>
              <fill>
                <patternFill>
                  <bgColor theme="0" tint="-0.24994659260841701"/>
                </patternFill>
              </fill>
            </x14:dxf>
          </x14:cfRule>
          <xm:sqref>N81:O104 N124:O149</xm:sqref>
        </x14:conditionalFormatting>
        <x14:conditionalFormatting xmlns:xm="http://schemas.microsoft.com/office/excel/2006/main">
          <x14:cfRule type="expression" priority="56" id="{FD5A8C8E-CF68-47A4-AC9D-7DC0E8CBFF6B}">
            <xm:f>'Backroom - question output calc'!$C$36=0</xm:f>
            <x14:dxf>
              <font>
                <color theme="0" tint="-0.499984740745262"/>
              </font>
              <fill>
                <patternFill>
                  <bgColor theme="0" tint="-0.24994659260841701"/>
                </patternFill>
              </fill>
            </x14:dxf>
          </x14:cfRule>
          <xm:sqref>P81:Q104 P124:Q149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A5E1C2BC-ABA4-4FEA-AF1B-3A1ED19B93E8}">
          <x14:formula1>
            <xm:f>'Backroom - question input'!$E$2:$E$3</xm:f>
          </x14:formula1>
          <xm:sqref>F22:F33 Q189 P153:Q159 F16:F18 P117:Q117 H197 F37:F45 Q192 Q195 M204:M206 Q198 H61:H66 H188 H191 H194 D56:Q56</xm:sqref>
        </x14:dataValidation>
        <x14:dataValidation type="list" allowBlank="1" showInputMessage="1" showErrorMessage="1" xr:uid="{9F79624E-5CD9-4ADE-A801-79C209359C4F}">
          <x14:formula1>
            <xm:f>'Backroom - question input'!$N$2:$N$6</xm:f>
          </x14:formula1>
          <xm:sqref>O127:O149 G127:G149 I127:I149 D82:Q104 M127:M149 E127:E149 K127:K149</xm:sqref>
        </x14:dataValidation>
        <x14:dataValidation type="list" allowBlank="1" showInputMessage="1" showErrorMessage="1" xr:uid="{77F18E96-DCD2-4966-B526-A4D7F9293EDB}">
          <x14:formula1>
            <xm:f>'Backroom - question input'!$E$2:$E$4</xm:f>
          </x14:formula1>
          <xm:sqref>Q190 Q193 Q196 Q199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E1FF8-22E9-48F7-97E2-803B4505B853}">
  <sheetPr codeName="Sheet5">
    <tabColor theme="9" tint="0.79998168889431442"/>
    <pageSetUpPr autoPageBreaks="0" fitToPage="1"/>
  </sheetPr>
  <dimension ref="B1:M321"/>
  <sheetViews>
    <sheetView showGridLines="0" showRowColHeaders="0" topLeftCell="A4" zoomScale="70" zoomScaleNormal="70" workbookViewId="0">
      <selection activeCell="H4" sqref="H4"/>
    </sheetView>
  </sheetViews>
  <sheetFormatPr defaultRowHeight="17.5" x14ac:dyDescent="0.35"/>
  <cols>
    <col min="1" max="1" width="7.4375" customWidth="1"/>
    <col min="2" max="4" width="14.625" style="145" customWidth="1"/>
    <col min="5" max="7" width="14.625" customWidth="1"/>
    <col min="8" max="8" width="37.0625" customWidth="1"/>
    <col min="9" max="13" width="15.5625" customWidth="1"/>
  </cols>
  <sheetData>
    <row r="1" spans="2:9" ht="46.4" customHeight="1" x14ac:dyDescent="0.35">
      <c r="B1" s="539" t="s">
        <v>527</v>
      </c>
      <c r="C1" s="540"/>
      <c r="D1" s="540"/>
      <c r="E1" s="540"/>
      <c r="F1" s="82"/>
      <c r="G1" s="83" t="s">
        <v>26</v>
      </c>
    </row>
    <row r="2" spans="2:9" ht="13.5" customHeight="1" x14ac:dyDescent="0.35">
      <c r="B2" s="110" t="str">
        <f>'Backroom - report content'!B4</f>
        <v>Completion date:</v>
      </c>
      <c r="C2" s="545" t="str">
        <f>'Backroom - report content'!C4</f>
        <v>Incomplete</v>
      </c>
      <c r="D2" s="545"/>
      <c r="E2" s="545"/>
      <c r="F2" s="541"/>
      <c r="G2" s="542"/>
    </row>
    <row r="3" spans="2:9" ht="14.15" customHeight="1" x14ac:dyDescent="0.35">
      <c r="B3" s="110" t="str">
        <f>'Backroom - report content'!B5</f>
        <v>Assessment completed by:</v>
      </c>
      <c r="C3" s="544" t="str">
        <f>'Backroom - report content'!C5</f>
        <v>Incomplete</v>
      </c>
      <c r="D3" s="544"/>
      <c r="E3" s="544"/>
      <c r="F3" s="541"/>
      <c r="G3" s="542"/>
    </row>
    <row r="4" spans="2:9" ht="25.4" customHeight="1" x14ac:dyDescent="0.35">
      <c r="B4" s="111" t="str">
        <f>'Backroom - report content'!B6</f>
        <v>Industry/sector assessed:</v>
      </c>
      <c r="C4" s="543" t="str">
        <f>'Backroom - report content'!C6</f>
        <v>Incomplete</v>
      </c>
      <c r="D4" s="543"/>
      <c r="E4" s="543"/>
      <c r="F4" s="107"/>
      <c r="G4" s="108"/>
    </row>
    <row r="5" spans="2:9" ht="22.5" customHeight="1" x14ac:dyDescent="0.35">
      <c r="B5" s="109"/>
      <c r="C5" s="543"/>
      <c r="D5" s="543"/>
      <c r="E5" s="543"/>
      <c r="F5" s="107"/>
      <c r="G5" s="108"/>
    </row>
    <row r="6" spans="2:9" ht="57.5" customHeight="1" x14ac:dyDescent="0.35">
      <c r="B6" s="530" t="str">
        <f>'Backroom - report content'!B8</f>
        <v>The user has not provided an objective for completing the Rapid Climate Risk Assessment.</v>
      </c>
      <c r="C6" s="531"/>
      <c r="D6" s="531"/>
      <c r="E6" s="531"/>
      <c r="F6" s="531"/>
      <c r="G6" s="532"/>
    </row>
    <row r="7" spans="2:9" ht="24.9" customHeight="1" x14ac:dyDescent="0.35">
      <c r="B7" s="521" t="str">
        <f>'Backroom - report content'!B10</f>
        <v>1. Understanding Industry: interactions and activities</v>
      </c>
      <c r="C7" s="522"/>
      <c r="D7" s="522"/>
      <c r="E7" s="522"/>
      <c r="F7" s="522"/>
      <c r="G7" s="523"/>
    </row>
    <row r="8" spans="2:9" ht="39" customHeight="1" x14ac:dyDescent="0.35">
      <c r="B8" s="530" t="str">
        <f>'Backroom - report content'!B11</f>
        <v>The user has not identified any reliance on natural or built features by the industry.</v>
      </c>
      <c r="C8" s="531"/>
      <c r="D8" s="531"/>
      <c r="E8" s="531"/>
      <c r="F8" s="531"/>
      <c r="G8" s="532"/>
    </row>
    <row r="9" spans="2:9" ht="63" customHeight="1" x14ac:dyDescent="0.35">
      <c r="B9" s="530" t="str">
        <f>'Backroom - report content'!B15</f>
        <v/>
      </c>
      <c r="C9" s="531"/>
      <c r="D9" s="531"/>
      <c r="E9" s="531"/>
      <c r="F9" s="531"/>
      <c r="G9" s="532"/>
      <c r="H9" s="86"/>
    </row>
    <row r="10" spans="2:9" ht="31.5" customHeight="1" x14ac:dyDescent="0.35">
      <c r="B10" s="530" t="str">
        <f>'Backroom - report content'!G15</f>
        <v/>
      </c>
      <c r="C10" s="531"/>
      <c r="D10" s="531"/>
      <c r="E10" s="531"/>
      <c r="F10" s="531"/>
      <c r="G10" s="532"/>
      <c r="H10" s="86"/>
    </row>
    <row r="11" spans="2:9" ht="47.4" customHeight="1" x14ac:dyDescent="0.35">
      <c r="B11" s="530" t="str">
        <f>'Backroom - report content'!B18</f>
        <v>The user has not identified the involvement of any operations or activities in the industry.</v>
      </c>
      <c r="C11" s="531"/>
      <c r="D11" s="531"/>
      <c r="E11" s="531"/>
      <c r="F11" s="531"/>
      <c r="G11" s="532"/>
    </row>
    <row r="12" spans="2:9" ht="56.5" customHeight="1" x14ac:dyDescent="0.35">
      <c r="B12" s="530" t="str">
        <f>'Backroom - report content'!B19</f>
        <v>The identified activities or features above provide a high-level overview of the potential activities or features that may be vulnerable or exposed to climate hazards as assessed in the following sections.</v>
      </c>
      <c r="C12" s="531"/>
      <c r="D12" s="531"/>
      <c r="E12" s="531"/>
      <c r="F12" s="531"/>
      <c r="G12" s="532"/>
    </row>
    <row r="13" spans="2:9" ht="25.5" customHeight="1" x14ac:dyDescent="0.35">
      <c r="B13" s="521" t="str">
        <f>'Backroom - report content'!B20</f>
        <v>2. Climate Hazard Exposure</v>
      </c>
      <c r="C13" s="522"/>
      <c r="D13" s="522"/>
      <c r="E13" s="522"/>
      <c r="F13" s="522"/>
      <c r="G13" s="523"/>
    </row>
    <row r="14" spans="2:9" ht="42.65" customHeight="1" x14ac:dyDescent="0.35">
      <c r="B14" s="527" t="str">
        <f>'Backroom - report content'!B21</f>
        <v xml:space="preserve">The following climate hazard events are events that are relevant to the industry and have been observed in the past: </v>
      </c>
      <c r="C14" s="528"/>
      <c r="D14" s="528"/>
      <c r="E14" s="528"/>
      <c r="F14" s="528"/>
      <c r="G14" s="529"/>
      <c r="I14" s="22"/>
    </row>
    <row r="15" spans="2:9" ht="15" customHeight="1" x14ac:dyDescent="0.35">
      <c r="B15" s="527" t="str">
        <f>'Backroom - report content'!B22</f>
        <v/>
      </c>
      <c r="C15" s="528"/>
      <c r="D15" s="528"/>
      <c r="E15" s="528"/>
      <c r="F15" s="528"/>
      <c r="G15" s="529"/>
    </row>
    <row r="16" spans="2:9" s="225" customFormat="1" ht="15" customHeight="1" x14ac:dyDescent="0.35">
      <c r="B16" s="224" t="str">
        <f>'Backroom - report content'!G23</f>
        <v/>
      </c>
      <c r="C16" s="528" t="str">
        <f>'Backroom - report content'!B23</f>
        <v/>
      </c>
      <c r="D16" s="528"/>
      <c r="E16" s="528"/>
      <c r="F16" s="528"/>
      <c r="G16" s="529"/>
    </row>
    <row r="17" spans="2:10" s="225" customFormat="1" ht="15" customHeight="1" x14ac:dyDescent="0.35">
      <c r="B17" s="224" t="str">
        <f>'Backroom - report content'!G24</f>
        <v/>
      </c>
      <c r="C17" s="528" t="str">
        <f>IF('Backroom - report content'!B24="","",'Backroom - report content'!B24)</f>
        <v/>
      </c>
      <c r="D17" s="528"/>
      <c r="E17" s="528"/>
      <c r="F17" s="528"/>
      <c r="G17" s="529"/>
    </row>
    <row r="18" spans="2:10" s="225" customFormat="1" ht="15" customHeight="1" x14ac:dyDescent="0.35">
      <c r="B18" s="224" t="str">
        <f>'Backroom - report content'!G25</f>
        <v/>
      </c>
      <c r="C18" s="528" t="str">
        <f>IF('Backroom - report content'!B25="","",'Backroom - report content'!B25)</f>
        <v/>
      </c>
      <c r="D18" s="528"/>
      <c r="E18" s="528"/>
      <c r="F18" s="528"/>
      <c r="G18" s="529"/>
    </row>
    <row r="19" spans="2:10" s="225" customFormat="1" ht="15" customHeight="1" x14ac:dyDescent="0.35">
      <c r="B19" s="224" t="str">
        <f>'Backroom - report content'!G26</f>
        <v/>
      </c>
      <c r="C19" s="528" t="str">
        <f>IF('Backroom - report content'!B26="","",'Backroom - report content'!B26)</f>
        <v/>
      </c>
      <c r="D19" s="528"/>
      <c r="E19" s="528"/>
      <c r="F19" s="528"/>
      <c r="G19" s="529"/>
    </row>
    <row r="20" spans="2:10" s="225" customFormat="1" ht="15" customHeight="1" x14ac:dyDescent="0.35">
      <c r="B20" s="224" t="str">
        <f>'Backroom - report content'!G27</f>
        <v/>
      </c>
      <c r="C20" s="528" t="str">
        <f>IF('Backroom - report content'!B27="","",'Backroom - report content'!B27)</f>
        <v/>
      </c>
      <c r="D20" s="528"/>
      <c r="E20" s="528"/>
      <c r="F20" s="528"/>
      <c r="G20" s="529"/>
    </row>
    <row r="21" spans="2:10" ht="30" customHeight="1" x14ac:dyDescent="0.35">
      <c r="B21" s="527" t="str">
        <f>'Backroom - report content'!B29</f>
        <v/>
      </c>
      <c r="C21" s="528"/>
      <c r="D21" s="528"/>
      <c r="E21" s="528"/>
      <c r="F21" s="528"/>
      <c r="G21" s="529"/>
    </row>
    <row r="22" spans="2:10" ht="124.5" customHeight="1" x14ac:dyDescent="0.35">
      <c r="B22" s="527" t="str">
        <f>'Backroom - report content'!B31</f>
        <v>Based on the above, the Rapid Climate Risk Assessment Framework assesses the industry has exposure to the following hazards: Tropical Cyclone. The Framework asks the user to input a baseline score for the PRESENT exposure for each of the climate hazards based on their industry knowledge. If a score is blank, the framework will use default exposure score ratings based on Van-KIRAP data. The user’s baseline scores are then adjusted using RCP8.5 to estimate likely exposure at 2050 and 2100. The default exposure takes into account the elements' general proximity to the climate hazard and the expected frequency and intensity over time.</v>
      </c>
      <c r="C22" s="528"/>
      <c r="D22" s="528"/>
      <c r="E22" s="528"/>
      <c r="F22" s="528"/>
      <c r="G22" s="529"/>
      <c r="H22" s="250"/>
      <c r="J22" s="243"/>
    </row>
    <row r="23" spans="2:10" ht="25.5" customHeight="1" x14ac:dyDescent="0.35">
      <c r="B23" s="521" t="str">
        <f>'Backroom - report content'!B33</f>
        <v>3. Vulnerability</v>
      </c>
      <c r="C23" s="522"/>
      <c r="D23" s="522"/>
      <c r="E23" s="522"/>
      <c r="F23" s="522"/>
      <c r="G23" s="523"/>
      <c r="H23" s="86"/>
    </row>
    <row r="24" spans="2:10" ht="25.5" customHeight="1" x14ac:dyDescent="0.35">
      <c r="B24" s="527" t="str">
        <f>'Backroom - report content'!B34</f>
        <v xml:space="preserve">Vulnerability assesses the industry's sensitivity or capacity to adapt to the hazards identified above. </v>
      </c>
      <c r="C24" s="528"/>
      <c r="D24" s="528"/>
      <c r="E24" s="528"/>
      <c r="F24" s="528"/>
      <c r="G24" s="529"/>
      <c r="H24" s="86"/>
    </row>
    <row r="25" spans="2:10" ht="107.4" customHeight="1" x14ac:dyDescent="0.35">
      <c r="B25" s="530" t="str">
        <f>'Backroom - report content'!B35</f>
        <v>The vulnerability assessment has used default preliminary vulnerability scores. The default vulnerability considers how sensitive the element typically is to the climate hazard and how able it is to adapt to the changing climate.</v>
      </c>
      <c r="C25" s="531"/>
      <c r="D25" s="531"/>
      <c r="E25" s="531"/>
      <c r="F25" s="531"/>
      <c r="G25" s="532"/>
      <c r="H25" s="86"/>
    </row>
    <row r="26" spans="2:10" ht="68.5" customHeight="1" x14ac:dyDescent="0.35">
      <c r="B26" s="530" t="str">
        <f>'Backroom - report content'!B37</f>
        <v/>
      </c>
      <c r="C26" s="531"/>
      <c r="D26" s="531"/>
      <c r="E26" s="531"/>
      <c r="F26" s="531"/>
      <c r="G26" s="532"/>
      <c r="H26" s="86"/>
    </row>
    <row r="27" spans="2:10" ht="25.5" customHeight="1" x14ac:dyDescent="0.35">
      <c r="B27" s="521" t="str">
        <f>'Backroom - report content'!B39</f>
        <v>4. Risk Assessment</v>
      </c>
      <c r="C27" s="522"/>
      <c r="D27" s="522"/>
      <c r="E27" s="522"/>
      <c r="F27" s="522"/>
      <c r="G27" s="523"/>
      <c r="H27" s="86"/>
    </row>
    <row r="28" spans="2:10" ht="45.5" customHeight="1" x14ac:dyDescent="0.35">
      <c r="B28" s="530" t="str">
        <f>'Backroom - report content'!B40</f>
        <v xml:space="preserve">Risk is a product of hazard exposure and vulnerability. Using the assessments completed above, risk ratings have been created for the elements and hazards relevant to the industry. </v>
      </c>
      <c r="C28" s="531"/>
      <c r="D28" s="531"/>
      <c r="E28" s="531"/>
      <c r="F28" s="531"/>
      <c r="G28" s="532"/>
      <c r="H28" s="86"/>
    </row>
    <row r="29" spans="2:10" ht="66" customHeight="1" x14ac:dyDescent="0.35">
      <c r="B29" s="530" t="str">
        <f>'Backroom - report content'!B41</f>
        <v>The below table identifies overall the top climate hazard risks (up to top 3) for the industry and shows their risk rating both now and in the future (combining the average of a 2050 and 2100 rating). It identifies which elements are at high or extreme risk from this climate hazard. These overall ratings are calculated using a weighted average of the risk ratings for all elements at risk from each climate hazard.</v>
      </c>
      <c r="C29" s="531"/>
      <c r="D29" s="531"/>
      <c r="E29" s="531"/>
      <c r="F29" s="531"/>
      <c r="G29" s="532"/>
      <c r="H29" s="86"/>
    </row>
    <row r="30" spans="2:10" ht="30.65" customHeight="1" x14ac:dyDescent="0.35">
      <c r="B30" s="255" t="s">
        <v>362</v>
      </c>
      <c r="C30" s="256" t="s">
        <v>363</v>
      </c>
      <c r="D30" s="257" t="s">
        <v>417</v>
      </c>
      <c r="E30" s="536" t="s">
        <v>364</v>
      </c>
      <c r="F30" s="537"/>
      <c r="G30" s="538"/>
      <c r="H30" s="86"/>
    </row>
    <row r="31" spans="2:10" ht="91.5" customHeight="1" x14ac:dyDescent="0.35">
      <c r="B31" s="299" t="str" cm="1">
        <f t="array" ref="B31">IFERROR(_xlfn.TAKE(_xlfn.LET(_xlpm.X, _xlfn.SORTBY(CVSummary[[Climate Variables/Explainers]:[Include]],CVSummary[Average Risk Score - Present],-1,CVSummary[Average Risk Score - 2050],-1,CVSummary[Average Risk Score - 2100],-1),_xlfn._xlws.FILTER(_xlpm.X,_xlfn.CHOOSECOLS(_xlpm.X,-1)=1)),3,3),"")</f>
        <v/>
      </c>
      <c r="C31" s="251"/>
      <c r="D31" s="252"/>
      <c r="E31" s="533" t="str">
        <f>'Backroom - report content'!B45</f>
        <v/>
      </c>
      <c r="F31" s="534"/>
      <c r="G31" s="535"/>
      <c r="H31" s="86"/>
    </row>
    <row r="32" spans="2:10" ht="91.5" customHeight="1" x14ac:dyDescent="0.35">
      <c r="B32" s="267"/>
      <c r="C32" s="254"/>
      <c r="D32" s="253"/>
      <c r="E32" s="533" t="str">
        <f>'Backroom - report content'!B46</f>
        <v/>
      </c>
      <c r="F32" s="534"/>
      <c r="G32" s="535"/>
      <c r="H32" s="86"/>
    </row>
    <row r="33" spans="2:8" ht="91.5" customHeight="1" x14ac:dyDescent="0.35">
      <c r="B33" s="283"/>
      <c r="C33" s="251"/>
      <c r="D33" s="253"/>
      <c r="E33" s="533" t="str">
        <f>'Backroom - report content'!B47</f>
        <v/>
      </c>
      <c r="F33" s="534"/>
      <c r="G33" s="535"/>
      <c r="H33" s="86"/>
    </row>
    <row r="34" spans="2:8" ht="69" customHeight="1" x14ac:dyDescent="0.35">
      <c r="B34" s="553" t="str">
        <f>'Backroom - report content'!B42</f>
        <v>The below table identifies overall the top elements (up to top 5) at overall risk for the industry, providing information for the high or extreme climate hazards that are contributing to these risks. These overall ratings are calculated through a weighted average of risk ratings from all climate hazards for each element of the industry.</v>
      </c>
      <c r="C34" s="554"/>
      <c r="D34" s="554"/>
      <c r="E34" s="554"/>
      <c r="F34" s="554"/>
      <c r="G34" s="555"/>
      <c r="H34" s="86"/>
    </row>
    <row r="35" spans="2:8" ht="27" customHeight="1" x14ac:dyDescent="0.35">
      <c r="B35" s="257" t="s">
        <v>343</v>
      </c>
      <c r="C35" s="257" t="s">
        <v>363</v>
      </c>
      <c r="D35" s="257" t="s">
        <v>418</v>
      </c>
      <c r="E35" s="536" t="s">
        <v>365</v>
      </c>
      <c r="F35" s="537"/>
      <c r="G35" s="538"/>
      <c r="H35" s="86"/>
    </row>
    <row r="36" spans="2:8" s="261" customFormat="1" ht="54.9" customHeight="1" x14ac:dyDescent="0.35">
      <c r="B36" s="267" t="str" cm="1">
        <f t="array" ref="B36">IFERROR(_xlfn.TAKE(_xlfn.LET(_xlpm.X, _xlfn.SORTBY(EaRSummary[[Elements at Risk]:[Include]],EaRSummary[Average Risk Score - Present],-1,EaRSummary[Average Risk Score - 2050],-1,EaRSummary[Average Risk Score - 2100],-1),_xlfn._xlws.FILTER(_xlpm.X,_xlfn.CHOOSECOLS(_xlpm.X,-1)=1)),5,3),"")</f>
        <v/>
      </c>
      <c r="C36" s="251"/>
      <c r="D36" s="253"/>
      <c r="E36" s="524" t="str">
        <f>'Backroom - report content'!B49</f>
        <v/>
      </c>
      <c r="F36" s="525"/>
      <c r="G36" s="526"/>
      <c r="H36" s="260"/>
    </row>
    <row r="37" spans="2:8" s="261" customFormat="1" ht="54.9" customHeight="1" x14ac:dyDescent="0.35">
      <c r="B37" s="267"/>
      <c r="C37" s="251"/>
      <c r="D37" s="253"/>
      <c r="E37" s="524" t="str">
        <f>'Backroom - report content'!B50</f>
        <v/>
      </c>
      <c r="F37" s="525"/>
      <c r="G37" s="526"/>
      <c r="H37" s="260"/>
    </row>
    <row r="38" spans="2:8" s="261" customFormat="1" ht="54.9" customHeight="1" x14ac:dyDescent="0.35">
      <c r="B38" s="267"/>
      <c r="C38" s="251"/>
      <c r="D38" s="253"/>
      <c r="E38" s="524" t="str">
        <f>'Backroom - report content'!B51</f>
        <v/>
      </c>
      <c r="F38" s="525"/>
      <c r="G38" s="526"/>
      <c r="H38" s="260"/>
    </row>
    <row r="39" spans="2:8" s="261" customFormat="1" ht="54.9" customHeight="1" x14ac:dyDescent="0.35">
      <c r="B39" s="267"/>
      <c r="C39" s="251"/>
      <c r="D39" s="253"/>
      <c r="E39" s="524" t="str">
        <f>'Backroom - report content'!B52</f>
        <v/>
      </c>
      <c r="F39" s="525"/>
      <c r="G39" s="526"/>
      <c r="H39" s="260"/>
    </row>
    <row r="40" spans="2:8" s="261" customFormat="1" ht="54.9" customHeight="1" x14ac:dyDescent="0.35">
      <c r="B40" s="283"/>
      <c r="C40" s="251"/>
      <c r="D40" s="253"/>
      <c r="E40" s="524" t="str">
        <f>'Backroom - report content'!B53</f>
        <v/>
      </c>
      <c r="F40" s="525"/>
      <c r="G40" s="526"/>
      <c r="H40" s="260"/>
    </row>
    <row r="41" spans="2:8" ht="19.5" customHeight="1" x14ac:dyDescent="0.35">
      <c r="B41" s="23"/>
      <c r="C41" s="113"/>
      <c r="D41" s="147"/>
      <c r="E41" s="112"/>
      <c r="F41" s="112"/>
      <c r="G41" s="238"/>
      <c r="H41" s="86"/>
    </row>
    <row r="42" spans="2:8" ht="25.5" customHeight="1" x14ac:dyDescent="0.35">
      <c r="B42" s="521" t="str">
        <f>'Backroom - report content'!B60</f>
        <v>5. Understanding Existing Climate Risk Management</v>
      </c>
      <c r="C42" s="522"/>
      <c r="D42" s="522"/>
      <c r="E42" s="522"/>
      <c r="F42" s="522"/>
      <c r="G42" s="523"/>
      <c r="H42" s="86"/>
    </row>
    <row r="43" spans="2:8" ht="19.5" customHeight="1" x14ac:dyDescent="0.35">
      <c r="B43" s="527" t="str">
        <f>'Backroom - report content'!B61</f>
        <v>Given the risks identified for the industry, it is worth considering whether:</v>
      </c>
      <c r="C43" s="528"/>
      <c r="D43" s="528"/>
      <c r="E43" s="528"/>
      <c r="F43" s="528"/>
      <c r="G43" s="529"/>
      <c r="H43" s="86"/>
    </row>
    <row r="44" spans="2:8" ht="19.5" customHeight="1" x14ac:dyDescent="0.35">
      <c r="B44" s="239" t="s">
        <v>265</v>
      </c>
      <c r="C44" s="528" t="str">
        <f>'Backroom - report content'!B62</f>
        <v>A more in-depth assessment could be beneficial to define the potential climate risks to the industry</v>
      </c>
      <c r="D44" s="528"/>
      <c r="E44" s="528"/>
      <c r="F44" s="528"/>
      <c r="G44" s="529"/>
      <c r="H44" s="86"/>
    </row>
    <row r="45" spans="2:8" ht="19.5" customHeight="1" x14ac:dyDescent="0.35">
      <c r="B45" s="239" t="s">
        <v>265</v>
      </c>
      <c r="C45" s="528" t="str">
        <f>'Backroom - report content'!B63</f>
        <v>Exposure to the climate risk could be avoided or minimized through altering how the industry functions</v>
      </c>
      <c r="D45" s="528"/>
      <c r="E45" s="528"/>
      <c r="F45" s="528"/>
      <c r="G45" s="529"/>
      <c r="H45" s="86"/>
    </row>
    <row r="46" spans="2:8" ht="36" customHeight="1" x14ac:dyDescent="0.35">
      <c r="B46" s="239" t="s">
        <v>265</v>
      </c>
      <c r="C46" s="528" t="str">
        <f>'Backroom - report content'!B64</f>
        <v>The impact or consequences of exposure to future climate events could be minimized or reduced (i.e. continuity plan/emergency response plan, education awareness material, monitoring and alerts)</v>
      </c>
      <c r="D46" s="528"/>
      <c r="E46" s="528"/>
      <c r="F46" s="528"/>
      <c r="G46" s="529"/>
      <c r="H46" s="86"/>
    </row>
    <row r="47" spans="2:8" ht="29.4" customHeight="1" x14ac:dyDescent="0.35">
      <c r="B47" s="239" t="s">
        <v>265</v>
      </c>
      <c r="C47" s="528" t="str">
        <f>'Backroom - report content'!B65</f>
        <v>There are any opportunities to adapt to the increased risk through changes to infrastructure and other industry functions</v>
      </c>
      <c r="D47" s="528"/>
      <c r="E47" s="528"/>
      <c r="F47" s="528"/>
      <c r="G47" s="529"/>
      <c r="H47" s="86"/>
    </row>
    <row r="48" spans="2:8" ht="49.5" customHeight="1" x14ac:dyDescent="0.35">
      <c r="B48" s="527" t="str">
        <f>'Backroom - report content'!B67</f>
        <v>The user has not identified any measures (either prepared or implemented) that manage the risks associated with climate hazards it is exposed to.</v>
      </c>
      <c r="C48" s="528"/>
      <c r="D48" s="528"/>
      <c r="E48" s="528"/>
      <c r="F48" s="528"/>
      <c r="G48" s="529"/>
      <c r="H48" s="86"/>
    </row>
    <row r="49" spans="2:8" ht="25.5" customHeight="1" x14ac:dyDescent="0.35">
      <c r="B49" s="521" t="str">
        <f>'Backroom - report content'!B69</f>
        <v>6. Adaptation</v>
      </c>
      <c r="C49" s="522"/>
      <c r="D49" s="522"/>
      <c r="E49" s="522"/>
      <c r="F49" s="522"/>
      <c r="G49" s="523"/>
      <c r="H49" s="86"/>
    </row>
    <row r="50" spans="2:8" ht="30" customHeight="1" x14ac:dyDescent="0.35">
      <c r="B50" s="527" t="str">
        <f>'Backroom - report content'!B70</f>
        <v xml:space="preserve">Adaptation is the process of adjustment to actual or expected climate hazards and their effects, in order to moderate risk. The protect, accommodate, retreat and avoid (PARA) framework has been introduced as a way to identify options to adapt. </v>
      </c>
      <c r="C50" s="528"/>
      <c r="D50" s="528"/>
      <c r="E50" s="528"/>
      <c r="F50" s="528"/>
      <c r="G50" s="529"/>
      <c r="H50" s="86"/>
    </row>
    <row r="51" spans="2:8" ht="19.5" customHeight="1" x14ac:dyDescent="0.35">
      <c r="B51" s="23"/>
      <c r="C51" s="113"/>
      <c r="D51" s="147"/>
      <c r="E51" s="112"/>
      <c r="F51" s="112"/>
      <c r="G51" s="238"/>
      <c r="H51" s="86"/>
    </row>
    <row r="52" spans="2:8" ht="19.5" customHeight="1" x14ac:dyDescent="0.35">
      <c r="B52" s="23"/>
      <c r="C52" s="113"/>
      <c r="D52" s="147"/>
      <c r="E52" s="112"/>
      <c r="F52" s="112"/>
      <c r="G52" s="238"/>
      <c r="H52" s="86"/>
    </row>
    <row r="53" spans="2:8" ht="19.5" customHeight="1" x14ac:dyDescent="0.35">
      <c r="B53" s="23"/>
      <c r="C53" s="113"/>
      <c r="D53" s="147"/>
      <c r="E53" s="112"/>
      <c r="F53" s="112"/>
      <c r="G53" s="238"/>
      <c r="H53" s="86"/>
    </row>
    <row r="54" spans="2:8" ht="19.5" customHeight="1" x14ac:dyDescent="0.35">
      <c r="B54" s="23"/>
      <c r="C54" s="113"/>
      <c r="D54" s="147"/>
      <c r="E54" s="112"/>
      <c r="F54" s="112"/>
      <c r="G54" s="238"/>
      <c r="H54" s="86"/>
    </row>
    <row r="55" spans="2:8" ht="19.5" customHeight="1" x14ac:dyDescent="0.35">
      <c r="B55" s="23"/>
      <c r="C55" s="113"/>
      <c r="D55" s="147"/>
      <c r="E55" s="112"/>
      <c r="F55" s="112"/>
      <c r="G55" s="238"/>
      <c r="H55" s="86"/>
    </row>
    <row r="56" spans="2:8" ht="19.5" customHeight="1" x14ac:dyDescent="0.35">
      <c r="B56" s="23"/>
      <c r="C56" s="113"/>
      <c r="D56" s="147"/>
      <c r="E56" s="112"/>
      <c r="F56" s="112"/>
      <c r="G56" s="238"/>
      <c r="H56" s="86"/>
    </row>
    <row r="57" spans="2:8" ht="19.5" customHeight="1" x14ac:dyDescent="0.35">
      <c r="B57" s="23"/>
      <c r="C57" s="113"/>
      <c r="D57" s="147"/>
      <c r="E57" s="112"/>
      <c r="F57" s="112"/>
      <c r="G57" s="238"/>
      <c r="H57" s="86"/>
    </row>
    <row r="58" spans="2:8" ht="19.5" customHeight="1" x14ac:dyDescent="0.35">
      <c r="B58" s="23"/>
      <c r="C58" s="113"/>
      <c r="D58" s="147"/>
      <c r="E58" s="112"/>
      <c r="F58" s="112"/>
      <c r="G58" s="238"/>
      <c r="H58" s="86"/>
    </row>
    <row r="59" spans="2:8" ht="19.5" customHeight="1" x14ac:dyDescent="0.35">
      <c r="B59" s="23"/>
      <c r="C59" s="113"/>
      <c r="D59" s="147"/>
      <c r="E59" s="112"/>
      <c r="F59" s="112"/>
      <c r="G59" s="238"/>
      <c r="H59" s="86"/>
    </row>
    <row r="60" spans="2:8" ht="19.5" customHeight="1" x14ac:dyDescent="0.25">
      <c r="B60" s="559" t="str">
        <f>'Backroom - question input'!C127</f>
        <v>*Image adapted from New Zealand Ministry for the Environment (2022)</v>
      </c>
      <c r="C60" s="560"/>
      <c r="D60" s="560"/>
      <c r="E60" s="560"/>
      <c r="F60" s="560"/>
      <c r="G60" s="561"/>
      <c r="H60" s="86"/>
    </row>
    <row r="61" spans="2:8" ht="54" customHeight="1" x14ac:dyDescent="0.35">
      <c r="B61" s="527" t="str">
        <f>'Backroom - report content'!B74</f>
        <v>The user has not identified any PROTECT actions that have been taken.</v>
      </c>
      <c r="C61" s="528"/>
      <c r="D61" s="528"/>
      <c r="E61" s="528"/>
      <c r="F61" s="528"/>
      <c r="G61" s="529"/>
      <c r="H61" s="86"/>
    </row>
    <row r="62" spans="2:8" ht="45.9" customHeight="1" x14ac:dyDescent="0.35">
      <c r="B62" s="527" t="str">
        <f>'Backroom - report content'!B78</f>
        <v>The user has not identified any ACCOMMODATE actions that have been taken.</v>
      </c>
      <c r="C62" s="528"/>
      <c r="D62" s="528"/>
      <c r="E62" s="528"/>
      <c r="F62" s="528"/>
      <c r="G62" s="529"/>
      <c r="H62" s="86"/>
    </row>
    <row r="63" spans="2:8" ht="45.9" customHeight="1" x14ac:dyDescent="0.35">
      <c r="B63" s="527" t="str">
        <f>'Backroom - report content'!B82</f>
        <v>The user has not identified any RETREAT actions that have been taken.</v>
      </c>
      <c r="C63" s="528"/>
      <c r="D63" s="528"/>
      <c r="E63" s="528"/>
      <c r="F63" s="528"/>
      <c r="G63" s="529"/>
      <c r="H63" s="86"/>
    </row>
    <row r="64" spans="2:8" ht="45.9" customHeight="1" x14ac:dyDescent="0.35">
      <c r="B64" s="527" t="str">
        <f>'Backroom - report content'!B86</f>
        <v>The user has not identified any AVOID actions that have been taken.</v>
      </c>
      <c r="C64" s="528"/>
      <c r="D64" s="528"/>
      <c r="E64" s="528"/>
      <c r="F64" s="528"/>
      <c r="G64" s="529"/>
      <c r="H64" s="86"/>
    </row>
    <row r="65" spans="2:13" ht="25.5" customHeight="1" x14ac:dyDescent="0.35">
      <c r="B65" s="521" t="str">
        <f>'Backroom - report content'!B89</f>
        <v>7. Hazard Forecasting Awareness</v>
      </c>
      <c r="C65" s="522"/>
      <c r="D65" s="522"/>
      <c r="E65" s="522"/>
      <c r="F65" s="522"/>
      <c r="G65" s="523"/>
      <c r="H65" s="86"/>
    </row>
    <row r="66" spans="2:13" ht="35.15" customHeight="1" x14ac:dyDescent="0.35">
      <c r="B66" s="527" t="str">
        <f>'Backroom - report content'!B90</f>
        <v xml:space="preserve">The user has stated that the industry does not use formal warning systems to forecast climate hazard events, traditional indicators to notify of upcoming potential issues or the Van KIRAP Climate Futures portal. </v>
      </c>
      <c r="C66" s="528"/>
      <c r="D66" s="528"/>
      <c r="E66" s="528"/>
      <c r="F66" s="528"/>
      <c r="G66" s="529"/>
      <c r="H66" s="86"/>
    </row>
    <row r="67" spans="2:13" ht="29.15" customHeight="1" x14ac:dyDescent="0.35">
      <c r="B67" s="527" t="str">
        <f>'Backroom - report content'!B94</f>
        <v xml:space="preserve">These can be key tools to improve industry preparedness to climate hazards. For further information on these resources please see the below links. </v>
      </c>
      <c r="C67" s="528"/>
      <c r="D67" s="528"/>
      <c r="E67" s="528"/>
      <c r="F67" s="528"/>
      <c r="G67" s="529"/>
      <c r="H67" s="86"/>
    </row>
    <row r="68" spans="2:13" s="277" customFormat="1" ht="21" customHeight="1" x14ac:dyDescent="0.35">
      <c r="B68" s="519" t="str">
        <f>'Backroom - report content'!C95</f>
        <v>Formal warning systems: Vanuatu Meteorology &amp; Geo-Hazards Department</v>
      </c>
      <c r="C68" s="520"/>
      <c r="D68" s="520"/>
      <c r="E68" s="520"/>
      <c r="F68" s="520"/>
      <c r="G68" s="281" t="str">
        <f>'Backroom - report content'!D95</f>
        <v>Access here</v>
      </c>
      <c r="H68" s="278"/>
    </row>
    <row r="69" spans="2:13" ht="23.15" customHeight="1" x14ac:dyDescent="0.35">
      <c r="B69" s="519" t="str">
        <f>'Backroom - report content'!C96</f>
        <v>Traditional indicators: National Advisory Board on Climate Change &amp; Disaster Risk Reduction, Government of Vanuatu</v>
      </c>
      <c r="C69" s="520"/>
      <c r="D69" s="520"/>
      <c r="E69" s="520"/>
      <c r="F69" s="520"/>
      <c r="G69" s="281" t="str">
        <f>'Backroom - report content'!D96</f>
        <v>Access here</v>
      </c>
      <c r="H69" s="86"/>
    </row>
    <row r="70" spans="2:13" ht="40.5" customHeight="1" x14ac:dyDescent="0.35">
      <c r="B70" s="519" t="str">
        <f>'Backroom - report content'!C97</f>
        <v>Van KIRAP Climate Futures Portal
Username: test
Password: vanKirap123</v>
      </c>
      <c r="C70" s="520"/>
      <c r="D70" s="520"/>
      <c r="E70" s="520"/>
      <c r="F70" s="520"/>
      <c r="G70" s="281" t="str">
        <f>'Backroom - report content'!D97</f>
        <v>Access here</v>
      </c>
      <c r="H70" s="86"/>
    </row>
    <row r="71" spans="2:13" ht="19.5" customHeight="1" x14ac:dyDescent="0.35">
      <c r="B71" s="249"/>
      <c r="C71" s="113"/>
      <c r="D71" s="147"/>
      <c r="E71" s="112"/>
      <c r="F71" s="112"/>
      <c r="G71" s="238"/>
      <c r="H71" s="86"/>
    </row>
    <row r="72" spans="2:13" s="259" customFormat="1" ht="45.9" customHeight="1" x14ac:dyDescent="0.35">
      <c r="B72" s="516" t="str">
        <f>'Backroom - report content'!B98</f>
        <v>The framework results presented in this report should be considered in conjunction with other non-climate factors to inform decision making. 
This report has been designed to be able to be exported as a pdf. Please click on 'file' then 'export' and save it under a file name specific to your industry.</v>
      </c>
      <c r="C72" s="517"/>
      <c r="D72" s="517"/>
      <c r="E72" s="517"/>
      <c r="F72" s="517"/>
      <c r="G72" s="518"/>
      <c r="H72" s="258"/>
    </row>
    <row r="73" spans="2:13" ht="19.5" customHeight="1" x14ac:dyDescent="0.35">
      <c r="B73" s="562" t="str">
        <f>'Backroom - report content'!B99</f>
        <v>End of Report</v>
      </c>
      <c r="C73" s="563"/>
      <c r="D73" s="563"/>
      <c r="E73" s="563"/>
      <c r="F73" s="563"/>
      <c r="G73" s="564"/>
      <c r="H73" s="86"/>
    </row>
    <row r="74" spans="2:13" ht="19.5" customHeight="1" x14ac:dyDescent="0.35">
      <c r="B74" s="262"/>
      <c r="C74" s="263"/>
      <c r="D74" s="264"/>
      <c r="E74" s="265"/>
      <c r="F74" s="265"/>
      <c r="G74" s="266"/>
      <c r="H74" s="86"/>
    </row>
    <row r="75" spans="2:13" ht="19.5" customHeight="1" x14ac:dyDescent="0.35">
      <c r="B75" s="521" t="str">
        <f>'Backroom - report content'!B100</f>
        <v xml:space="preserve">Appendix 1: Further assessment details </v>
      </c>
      <c r="C75" s="522"/>
      <c r="D75" s="522"/>
      <c r="E75" s="522"/>
      <c r="F75" s="522"/>
      <c r="G75" s="523"/>
      <c r="H75" s="86"/>
    </row>
    <row r="76" spans="2:13" ht="36.9" customHeight="1" x14ac:dyDescent="0.35">
      <c r="B76" s="556" t="str">
        <f>'Backroom - report content'!B102</f>
        <v xml:space="preserve">The following tables provide further detail that have informed the report findings. Risk ratings are identified over the three exposure timeframes (present day, 2500 and 2100) using the RCP8.5 baseline high emission scenario. </v>
      </c>
      <c r="C76" s="557"/>
      <c r="D76" s="557"/>
      <c r="E76" s="557"/>
      <c r="F76" s="557"/>
      <c r="G76" s="558"/>
      <c r="H76" s="86"/>
      <c r="I76" s="22"/>
    </row>
    <row r="77" spans="2:13" ht="48.9" customHeight="1" x14ac:dyDescent="0.35">
      <c r="B77" s="556" t="str">
        <f>'Backroom - report content'!B103</f>
        <v>The below table presents the overall risk rating for each climate hazard that the industry is exposed to. The overall risk ratings are calculated using a weighted average of the risk ratings for all elements at risk from each climate hazard. The table is ordered based on severity and immediacy of the risks caused by that hazard.</v>
      </c>
      <c r="C77" s="557"/>
      <c r="D77" s="557"/>
      <c r="E77" s="557"/>
      <c r="F77" s="557"/>
      <c r="G77" s="558"/>
      <c r="H77" s="86"/>
    </row>
    <row r="78" spans="2:13" ht="19.5" customHeight="1" x14ac:dyDescent="0.35">
      <c r="B78" s="23"/>
      <c r="C78" s="113"/>
      <c r="D78" s="147"/>
      <c r="E78" s="112"/>
      <c r="F78" s="112"/>
      <c r="G78" s="238"/>
      <c r="H78" s="86"/>
    </row>
    <row r="79" spans="2:13" ht="19.5" customHeight="1" x14ac:dyDescent="0.35">
      <c r="B79" s="549" t="s">
        <v>419</v>
      </c>
      <c r="C79" s="551"/>
      <c r="D79" s="257" t="s">
        <v>240</v>
      </c>
      <c r="E79" s="257" t="s">
        <v>241</v>
      </c>
      <c r="F79" s="257" t="s">
        <v>242</v>
      </c>
      <c r="G79" s="288"/>
      <c r="H79" s="86"/>
      <c r="I79" s="245"/>
      <c r="J79" s="246"/>
      <c r="K79" s="160"/>
      <c r="L79" s="160"/>
      <c r="M79" s="160"/>
    </row>
    <row r="80" spans="2:13" ht="19.5" customHeight="1" x14ac:dyDescent="0.35">
      <c r="B80" s="291" t="str" cm="1">
        <f t="array" ref="B80">IFERROR(_xlfn.CHOOSECOLS(_xlfn.LET(_xlpm.X, _xlfn.SORTBY(CVSummary[[Climate Variables/Explainers]:[Include]],CVSummary[Average Risk Score - Present],-1,CVSummary[Average Risk Score - 2050],-1,CVSummary[Average Risk Score - 2100],-1),_xlfn._xlws.FILTER(_xlpm.X,_xlfn.CHOOSECOLS(_xlpm.X,-1)=1)),1),"")</f>
        <v/>
      </c>
      <c r="C80" s="286"/>
      <c r="D80" s="113" t="str" cm="1">
        <f t="array" ref="D80">IFERROR(_xlfn.CHOOSECOLS(_xlfn.LET(_xlpm.X, _xlfn.SORTBY(CVSummary[[Climate Variables/Explainers]:[Include]],CVSummary[Average Risk Score - Present],-1,CVSummary[Average Risk Score - 2050],-1,CVSummary[Average Risk Score - 2100],-1),_xlfn._xlws.FILTER(_xlpm.X,_xlfn.CHOOSECOLS(_xlpm.X,-1)=1)),2,4,5),"")</f>
        <v/>
      </c>
      <c r="E80" s="112"/>
      <c r="F80" s="112"/>
      <c r="G80" s="238"/>
      <c r="H80" s="86"/>
      <c r="I80" s="113"/>
    </row>
    <row r="81" spans="2:13" ht="19.5" customHeight="1" x14ac:dyDescent="0.35">
      <c r="B81" s="291"/>
      <c r="C81" s="286"/>
      <c r="D81" s="113"/>
      <c r="E81" s="112"/>
      <c r="F81" s="112"/>
      <c r="G81" s="238"/>
      <c r="H81" s="86"/>
    </row>
    <row r="82" spans="2:13" ht="19.5" customHeight="1" x14ac:dyDescent="0.35">
      <c r="B82" s="291"/>
      <c r="C82" s="286"/>
      <c r="D82" s="113"/>
      <c r="E82" s="112"/>
      <c r="F82" s="112"/>
      <c r="G82" s="238"/>
      <c r="H82" s="86"/>
    </row>
    <row r="83" spans="2:13" ht="19.5" customHeight="1" x14ac:dyDescent="0.35">
      <c r="B83" s="291"/>
      <c r="C83" s="286"/>
      <c r="D83" s="113"/>
      <c r="E83" s="112"/>
      <c r="F83" s="112"/>
      <c r="G83" s="238"/>
      <c r="H83" s="86"/>
    </row>
    <row r="84" spans="2:13" ht="19.5" customHeight="1" x14ac:dyDescent="0.35">
      <c r="B84" s="291"/>
      <c r="C84" s="286"/>
      <c r="D84" s="113"/>
      <c r="E84" s="112"/>
      <c r="F84" s="112"/>
      <c r="G84" s="238"/>
      <c r="H84" s="86"/>
    </row>
    <row r="85" spans="2:13" ht="19.5" customHeight="1" x14ac:dyDescent="0.35">
      <c r="B85" s="291"/>
      <c r="C85" s="286"/>
      <c r="D85" s="113"/>
      <c r="E85" s="112"/>
      <c r="F85" s="112"/>
      <c r="G85" s="238"/>
      <c r="H85" s="86"/>
    </row>
    <row r="86" spans="2:13" ht="19.5" customHeight="1" x14ac:dyDescent="0.35">
      <c r="B86" s="291"/>
      <c r="C86" s="286"/>
      <c r="D86" s="113"/>
      <c r="E86" s="112"/>
      <c r="F86" s="112"/>
      <c r="G86" s="238"/>
      <c r="H86" s="86"/>
    </row>
    <row r="87" spans="2:13" ht="19.5" customHeight="1" x14ac:dyDescent="0.35">
      <c r="B87" s="23"/>
      <c r="C87" s="147"/>
      <c r="D87" s="113"/>
      <c r="E87" s="112"/>
      <c r="F87" s="112"/>
      <c r="G87" s="238"/>
      <c r="H87" s="86"/>
    </row>
    <row r="88" spans="2:13" ht="47.4" customHeight="1" x14ac:dyDescent="0.35">
      <c r="B88" s="556" t="str">
        <f>'Backroom - report content'!B104</f>
        <v>The below table presents the overall risk rating for each element that is relevant to the industry. The overall risk ratings are calculated using a weighted average of all the risk ratings from each hazard for that element. The table is ordered based on severity and immediacy of elements' risk rating.</v>
      </c>
      <c r="C88" s="557"/>
      <c r="D88" s="557"/>
      <c r="E88" s="557"/>
      <c r="F88" s="557"/>
      <c r="G88" s="558"/>
      <c r="H88" s="86"/>
    </row>
    <row r="89" spans="2:13" ht="19.5" customHeight="1" x14ac:dyDescent="0.35">
      <c r="B89" s="23"/>
      <c r="C89" s="284"/>
      <c r="D89" s="286"/>
      <c r="E89" s="285"/>
      <c r="F89" s="285"/>
      <c r="G89" s="287"/>
      <c r="H89" s="86"/>
    </row>
    <row r="90" spans="2:13" ht="19.5" customHeight="1" x14ac:dyDescent="0.35">
      <c r="B90" s="549" t="s">
        <v>90</v>
      </c>
      <c r="C90" s="551"/>
      <c r="D90" s="257" t="s">
        <v>240</v>
      </c>
      <c r="E90" s="257" t="s">
        <v>241</v>
      </c>
      <c r="F90" s="257" t="s">
        <v>242</v>
      </c>
      <c r="G90" s="288"/>
      <c r="H90" s="86"/>
      <c r="I90" s="245"/>
      <c r="J90" s="246"/>
      <c r="K90" s="160"/>
      <c r="L90" s="160"/>
      <c r="M90" s="160"/>
    </row>
    <row r="91" spans="2:13" ht="19.5" customHeight="1" x14ac:dyDescent="0.35">
      <c r="B91" s="291" t="str" cm="1">
        <f t="array" ref="B91">IFERROR(_xlfn.CHOOSECOLS(_xlfn.LET(_xlpm.X, _xlfn.SORTBY(EaRSummary[[Elements at Risk]:[Include]],EaRSummary[Average Risk Score - Present],-1,EaRSummary[Average Risk Score - 2050],-1,EaRSummary[Average Risk Score - 2100],-1),_xlfn._xlws.FILTER(_xlpm.X,_xlfn.CHOOSECOLS(_xlpm.X,-1)=1)),1),"")</f>
        <v/>
      </c>
      <c r="C91" s="290"/>
      <c r="D91" s="113" t="str" cm="1">
        <f t="array" ref="D91">IFERROR(_xlfn.CHOOSECOLS(_xlfn.LET(_xlpm.X, _xlfn.SORTBY(EaRSummary[[Elements at Risk]:[Include]],EaRSummary[Average Risk Score - Present],-1,EaRSummary[Average Risk Score - 2050],-1,EaRSummary[Average Risk Score - 2100],-1),_xlfn._xlws.FILTER(_xlpm.X,_xlfn.CHOOSECOLS(_xlpm.X,-1)=1)),2,4,5),"")</f>
        <v/>
      </c>
      <c r="E91" s="112"/>
      <c r="F91" s="112"/>
      <c r="G91" s="238"/>
      <c r="H91" s="86"/>
    </row>
    <row r="92" spans="2:13" ht="19.5" customHeight="1" x14ac:dyDescent="0.35">
      <c r="B92" s="291"/>
      <c r="C92" s="148"/>
      <c r="D92" s="113"/>
      <c r="E92" s="112"/>
      <c r="F92" s="112"/>
      <c r="G92" s="238"/>
      <c r="H92" s="86"/>
    </row>
    <row r="93" spans="2:13" ht="19.5" customHeight="1" x14ac:dyDescent="0.35">
      <c r="B93" s="291"/>
      <c r="C93" s="148"/>
      <c r="D93" s="113"/>
      <c r="E93" s="112"/>
      <c r="F93" s="112"/>
      <c r="G93" s="238"/>
      <c r="H93" s="86"/>
    </row>
    <row r="94" spans="2:13" ht="19.5" customHeight="1" x14ac:dyDescent="0.35">
      <c r="B94" s="291"/>
      <c r="C94" s="148"/>
      <c r="D94" s="113"/>
      <c r="E94" s="112"/>
      <c r="F94" s="112"/>
      <c r="G94" s="238"/>
      <c r="H94" s="86"/>
    </row>
    <row r="95" spans="2:13" ht="19.5" customHeight="1" x14ac:dyDescent="0.35">
      <c r="B95" s="291"/>
      <c r="C95" s="148"/>
      <c r="D95" s="113"/>
      <c r="E95" s="112"/>
      <c r="F95" s="112"/>
      <c r="G95" s="238"/>
      <c r="H95" s="86"/>
    </row>
    <row r="96" spans="2:13" ht="19.5" customHeight="1" x14ac:dyDescent="0.35">
      <c r="B96" s="291"/>
      <c r="C96" s="148"/>
      <c r="D96" s="113"/>
      <c r="E96" s="112"/>
      <c r="F96" s="112"/>
      <c r="G96" s="238"/>
      <c r="H96" s="86"/>
    </row>
    <row r="97" spans="2:8" ht="19.5" customHeight="1" x14ac:dyDescent="0.35">
      <c r="B97" s="291"/>
      <c r="C97" s="148"/>
      <c r="D97" s="113"/>
      <c r="E97" s="112"/>
      <c r="F97" s="112"/>
      <c r="G97" s="238"/>
      <c r="H97" s="86"/>
    </row>
    <row r="98" spans="2:8" ht="19.5" customHeight="1" x14ac:dyDescent="0.35">
      <c r="B98" s="291"/>
      <c r="C98" s="148"/>
      <c r="D98" s="113"/>
      <c r="E98" s="112"/>
      <c r="F98" s="112"/>
      <c r="G98" s="238"/>
      <c r="H98" s="86"/>
    </row>
    <row r="99" spans="2:8" ht="19.5" customHeight="1" x14ac:dyDescent="0.35">
      <c r="B99" s="291"/>
      <c r="C99" s="148"/>
      <c r="D99" s="113"/>
      <c r="E99" s="112"/>
      <c r="F99" s="112"/>
      <c r="G99" s="238"/>
      <c r="H99" s="86"/>
    </row>
    <row r="100" spans="2:8" ht="19.5" customHeight="1" x14ac:dyDescent="0.35">
      <c r="B100" s="291"/>
      <c r="C100" s="148"/>
      <c r="D100" s="113"/>
      <c r="E100" s="112"/>
      <c r="F100" s="112"/>
      <c r="G100" s="238"/>
      <c r="H100" s="86"/>
    </row>
    <row r="101" spans="2:8" ht="19.5" customHeight="1" x14ac:dyDescent="0.35">
      <c r="B101" s="291"/>
      <c r="C101" s="148"/>
      <c r="D101" s="113"/>
      <c r="E101" s="112"/>
      <c r="F101" s="112"/>
      <c r="G101" s="238"/>
      <c r="H101" s="86"/>
    </row>
    <row r="102" spans="2:8" ht="19.5" customHeight="1" x14ac:dyDescent="0.35">
      <c r="B102" s="291"/>
      <c r="C102" s="148"/>
      <c r="D102" s="113"/>
      <c r="E102" s="112"/>
      <c r="F102" s="112"/>
      <c r="G102" s="238"/>
      <c r="H102" s="86"/>
    </row>
    <row r="103" spans="2:8" ht="19.5" customHeight="1" x14ac:dyDescent="0.35">
      <c r="B103" s="291"/>
      <c r="C103" s="148"/>
      <c r="D103" s="113"/>
      <c r="E103" s="112"/>
      <c r="F103" s="112"/>
      <c r="G103" s="238"/>
      <c r="H103" s="86"/>
    </row>
    <row r="104" spans="2:8" ht="19.5" customHeight="1" x14ac:dyDescent="0.35">
      <c r="B104" s="291"/>
      <c r="C104" s="148"/>
      <c r="D104" s="113"/>
      <c r="E104" s="112"/>
      <c r="F104" s="112"/>
      <c r="G104" s="238"/>
      <c r="H104" s="86"/>
    </row>
    <row r="105" spans="2:8" ht="19.5" customHeight="1" x14ac:dyDescent="0.35">
      <c r="B105" s="291"/>
      <c r="C105" s="148"/>
      <c r="D105" s="113"/>
      <c r="E105" s="112"/>
      <c r="F105" s="112"/>
      <c r="G105" s="238"/>
      <c r="H105" s="86"/>
    </row>
    <row r="106" spans="2:8" ht="19.5" customHeight="1" x14ac:dyDescent="0.35">
      <c r="B106" s="291"/>
      <c r="C106" s="148"/>
      <c r="D106" s="113"/>
      <c r="E106" s="112"/>
      <c r="F106" s="112"/>
      <c r="G106" s="238"/>
      <c r="H106" s="86"/>
    </row>
    <row r="107" spans="2:8" ht="19.5" customHeight="1" x14ac:dyDescent="0.35">
      <c r="B107" s="291"/>
      <c r="C107" s="148"/>
      <c r="D107" s="113"/>
      <c r="E107" s="112"/>
      <c r="F107" s="112"/>
      <c r="G107" s="238"/>
      <c r="H107" s="86"/>
    </row>
    <row r="108" spans="2:8" ht="19.5" customHeight="1" x14ac:dyDescent="0.35">
      <c r="B108" s="291"/>
      <c r="C108" s="148"/>
      <c r="D108" s="113"/>
      <c r="E108" s="112"/>
      <c r="F108" s="112"/>
      <c r="G108" s="238"/>
      <c r="H108" s="86"/>
    </row>
    <row r="109" spans="2:8" ht="19.5" customHeight="1" x14ac:dyDescent="0.35">
      <c r="B109" s="291"/>
      <c r="C109" s="148"/>
      <c r="D109" s="113"/>
      <c r="E109" s="112"/>
      <c r="F109" s="112"/>
      <c r="G109" s="238"/>
      <c r="H109" s="86"/>
    </row>
    <row r="110" spans="2:8" ht="19.5" customHeight="1" x14ac:dyDescent="0.35">
      <c r="B110" s="291"/>
      <c r="C110" s="148"/>
      <c r="D110" s="113"/>
      <c r="E110" s="112"/>
      <c r="F110" s="112"/>
      <c r="G110" s="238"/>
      <c r="H110" s="86"/>
    </row>
    <row r="111" spans="2:8" ht="19.5" customHeight="1" x14ac:dyDescent="0.35">
      <c r="B111" s="291"/>
      <c r="C111" s="148"/>
      <c r="D111" s="113"/>
      <c r="E111" s="112"/>
      <c r="F111" s="112"/>
      <c r="G111" s="238"/>
      <c r="H111" s="86"/>
    </row>
    <row r="112" spans="2:8" ht="19.5" customHeight="1" x14ac:dyDescent="0.35">
      <c r="B112" s="291"/>
      <c r="C112" s="148"/>
      <c r="D112" s="113"/>
      <c r="E112" s="112"/>
      <c r="F112" s="112"/>
      <c r="G112" s="238"/>
      <c r="H112" s="86"/>
    </row>
    <row r="113" spans="2:9" ht="19.5" customHeight="1" x14ac:dyDescent="0.35">
      <c r="B113" s="291"/>
      <c r="C113" s="148"/>
      <c r="D113" s="113"/>
      <c r="E113" s="112"/>
      <c r="F113" s="112"/>
      <c r="G113" s="238"/>
      <c r="H113" s="86"/>
    </row>
    <row r="114" spans="2:9" ht="19.5" customHeight="1" x14ac:dyDescent="0.35">
      <c r="B114" s="552"/>
      <c r="C114" s="552"/>
      <c r="D114" s="552"/>
      <c r="E114" s="552"/>
      <c r="F114" s="552"/>
      <c r="G114" s="552"/>
    </row>
    <row r="115" spans="2:9" ht="51.65" customHeight="1" x14ac:dyDescent="0.35">
      <c r="B115" s="527" t="str">
        <f>'Backroom - report content'!B107</f>
        <v xml:space="preserve">The assessment framework has calculated the following individual risks for the industry. These are presented in order of highest risk from present to 2100. Where statements have the same risk rating there is no distinction in the ordering of statements. </v>
      </c>
      <c r="C115" s="528"/>
      <c r="D115" s="528"/>
      <c r="E115" s="528"/>
      <c r="F115" s="528"/>
      <c r="G115" s="529"/>
      <c r="H115" s="85"/>
    </row>
    <row r="116" spans="2:9" x14ac:dyDescent="0.35">
      <c r="B116" s="549" t="s">
        <v>174</v>
      </c>
      <c r="C116" s="550"/>
      <c r="D116" s="551"/>
      <c r="E116" s="549" t="s">
        <v>152</v>
      </c>
      <c r="F116" s="550"/>
      <c r="G116" s="551"/>
    </row>
    <row r="117" spans="2:9" x14ac:dyDescent="0.35">
      <c r="B117" s="546" t="s">
        <v>130</v>
      </c>
      <c r="C117" s="547"/>
      <c r="D117" s="548"/>
      <c r="E117" s="283" t="s">
        <v>131</v>
      </c>
      <c r="F117" s="283">
        <v>2050</v>
      </c>
      <c r="G117" s="283">
        <v>2100</v>
      </c>
    </row>
    <row r="118" spans="2:9" x14ac:dyDescent="0.35">
      <c r="B118" s="291" t="str" cm="1">
        <f t="array" ref="B118">IFERROR(_xlfn.CHOOSECOLS(_xlfn.LET(_xlpm.X, _xlfn.SORTBY(RiskStatements[[Risk Statement]:[Include]],RiskStatements[Risk Score - Present],-1,RiskStatements[Risk Score - 2050],-1,RiskStatements[Risk Score - 2100],-1,MATCH(RiskStatements[Climate Variables/Explainers],CVSummary[Climate Variables/Explainers],0),1,MATCH(RiskStatements[Elements at Risk],EaRSummary[Elements at Risk],0),1),_xlfn._xlws.FILTER(_xlpm.X,_xlfn.CHOOSECOLS(_xlpm.X,-1)=1)),1),"")</f>
        <v/>
      </c>
      <c r="C118" s="282"/>
      <c r="D118" s="282"/>
      <c r="E118" s="113" t="str" cm="1">
        <f t="array" ref="E118">IFERROR(_xlfn.CHOOSECOLS(_xlfn.LET(_xlpm.X, _xlfn.SORTBY(RiskStatements[[Risk Statement]:[Include]],RiskStatements[Risk Score - Present],-1,RiskStatements[Risk Score - 2050],-1,RiskStatements[Risk Score - 2100],-1,MATCH(RiskStatements[Climate Variables/Explainers],CVSummary[Climate Variables/Explainers],0),1,MATCH(RiskStatements[Elements at Risk],EaRSummary[Elements at Risk],0),1),_xlfn._xlws.FILTER(_xlpm.X,_xlfn.CHOOSECOLS(_xlpm.X,-1)=1)),2,3,4),"")</f>
        <v/>
      </c>
      <c r="F118" s="113"/>
      <c r="G118" s="287"/>
      <c r="I118" s="148"/>
    </row>
    <row r="119" spans="2:9" x14ac:dyDescent="0.35">
      <c r="B119" s="291"/>
      <c r="C119" s="282"/>
      <c r="D119" s="282"/>
      <c r="E119" s="113"/>
      <c r="F119" s="113"/>
      <c r="G119" s="287"/>
    </row>
    <row r="120" spans="2:9" x14ac:dyDescent="0.35">
      <c r="B120" s="291"/>
      <c r="C120" s="282"/>
      <c r="D120" s="282"/>
      <c r="E120" s="113"/>
      <c r="F120" s="113"/>
      <c r="G120" s="287"/>
    </row>
    <row r="121" spans="2:9" x14ac:dyDescent="0.35">
      <c r="B121" s="291"/>
      <c r="C121" s="282"/>
      <c r="D121" s="282"/>
      <c r="E121" s="113"/>
      <c r="F121" s="113"/>
      <c r="G121" s="287"/>
    </row>
    <row r="122" spans="2:9" x14ac:dyDescent="0.35">
      <c r="B122" s="291"/>
      <c r="C122" s="282"/>
      <c r="D122" s="282"/>
      <c r="E122" s="113"/>
      <c r="F122" s="113"/>
      <c r="G122" s="287"/>
    </row>
    <row r="123" spans="2:9" x14ac:dyDescent="0.35">
      <c r="B123" s="291"/>
      <c r="C123" s="282"/>
      <c r="D123" s="282"/>
      <c r="E123" s="113"/>
      <c r="F123" s="113"/>
      <c r="G123" s="287"/>
    </row>
    <row r="124" spans="2:9" x14ac:dyDescent="0.35">
      <c r="B124" s="291"/>
      <c r="C124" s="282"/>
      <c r="D124" s="282"/>
      <c r="E124" s="113"/>
      <c r="F124" s="113"/>
      <c r="G124" s="287"/>
    </row>
    <row r="125" spans="2:9" x14ac:dyDescent="0.35">
      <c r="B125" s="291"/>
      <c r="C125" s="282"/>
      <c r="D125" s="282"/>
      <c r="E125" s="113"/>
      <c r="F125" s="113"/>
      <c r="G125" s="287"/>
    </row>
    <row r="126" spans="2:9" x14ac:dyDescent="0.35">
      <c r="B126" s="291"/>
      <c r="C126" s="282"/>
      <c r="D126" s="282"/>
      <c r="E126" s="113"/>
      <c r="F126" s="113"/>
      <c r="G126" s="287"/>
    </row>
    <row r="127" spans="2:9" x14ac:dyDescent="0.35">
      <c r="B127" s="291"/>
      <c r="C127" s="282"/>
      <c r="D127" s="282"/>
      <c r="E127" s="113"/>
      <c r="F127" s="113"/>
      <c r="G127" s="287"/>
    </row>
    <row r="128" spans="2:9" x14ac:dyDescent="0.35">
      <c r="B128" s="291"/>
      <c r="C128" s="282"/>
      <c r="D128" s="282"/>
      <c r="E128" s="113"/>
      <c r="F128" s="113"/>
      <c r="G128" s="287"/>
    </row>
    <row r="129" spans="2:7" x14ac:dyDescent="0.35">
      <c r="B129" s="291"/>
      <c r="C129" s="282"/>
      <c r="D129" s="282"/>
      <c r="E129" s="113"/>
      <c r="F129" s="113"/>
      <c r="G129" s="287"/>
    </row>
    <row r="130" spans="2:7" x14ac:dyDescent="0.35">
      <c r="B130" s="291"/>
      <c r="C130" s="282"/>
      <c r="D130" s="282"/>
      <c r="E130" s="113"/>
      <c r="F130" s="113"/>
      <c r="G130" s="287"/>
    </row>
    <row r="131" spans="2:7" x14ac:dyDescent="0.35">
      <c r="B131" s="291"/>
      <c r="C131" s="282"/>
      <c r="D131" s="282"/>
      <c r="E131" s="113"/>
      <c r="F131" s="113"/>
      <c r="G131" s="287"/>
    </row>
    <row r="132" spans="2:7" x14ac:dyDescent="0.35">
      <c r="B132" s="291"/>
      <c r="C132" s="282"/>
      <c r="D132" s="282"/>
      <c r="E132" s="113"/>
      <c r="F132" s="113"/>
      <c r="G132" s="287"/>
    </row>
    <row r="133" spans="2:7" x14ac:dyDescent="0.35">
      <c r="B133" s="291"/>
      <c r="C133" s="282"/>
      <c r="D133" s="282"/>
      <c r="E133" s="113"/>
      <c r="F133" s="113"/>
      <c r="G133" s="287"/>
    </row>
    <row r="134" spans="2:7" x14ac:dyDescent="0.35">
      <c r="B134" s="291"/>
      <c r="C134" s="282"/>
      <c r="D134" s="282"/>
      <c r="E134" s="113"/>
      <c r="F134" s="113"/>
      <c r="G134" s="287"/>
    </row>
    <row r="135" spans="2:7" x14ac:dyDescent="0.35">
      <c r="B135" s="291"/>
      <c r="C135" s="282"/>
      <c r="D135" s="282"/>
      <c r="E135" s="113"/>
      <c r="F135" s="113"/>
      <c r="G135" s="287"/>
    </row>
    <row r="136" spans="2:7" x14ac:dyDescent="0.35">
      <c r="B136" s="291"/>
      <c r="C136" s="282"/>
      <c r="D136" s="282"/>
      <c r="E136" s="113"/>
      <c r="F136" s="113"/>
      <c r="G136" s="287"/>
    </row>
    <row r="137" spans="2:7" x14ac:dyDescent="0.35">
      <c r="B137" s="291"/>
      <c r="C137" s="282"/>
      <c r="D137" s="282"/>
      <c r="E137" s="113"/>
      <c r="F137" s="113"/>
      <c r="G137" s="287"/>
    </row>
    <row r="138" spans="2:7" x14ac:dyDescent="0.35">
      <c r="B138" s="291"/>
      <c r="C138" s="282"/>
      <c r="D138" s="282"/>
      <c r="E138" s="113"/>
      <c r="F138" s="113"/>
      <c r="G138" s="287"/>
    </row>
    <row r="139" spans="2:7" x14ac:dyDescent="0.35">
      <c r="B139" s="291"/>
      <c r="C139" s="282"/>
      <c r="D139" s="282"/>
      <c r="E139" s="113"/>
      <c r="F139" s="113"/>
      <c r="G139" s="287"/>
    </row>
    <row r="140" spans="2:7" x14ac:dyDescent="0.35">
      <c r="B140" s="291"/>
      <c r="C140" s="282"/>
      <c r="D140" s="282"/>
      <c r="E140" s="113"/>
      <c r="F140" s="113"/>
      <c r="G140" s="287"/>
    </row>
    <row r="141" spans="2:7" x14ac:dyDescent="0.35">
      <c r="B141" s="291"/>
      <c r="C141" s="282"/>
      <c r="D141" s="282"/>
      <c r="E141" s="113"/>
      <c r="F141" s="113"/>
      <c r="G141" s="287"/>
    </row>
    <row r="142" spans="2:7" x14ac:dyDescent="0.35">
      <c r="B142" s="291"/>
      <c r="C142" s="282"/>
      <c r="D142" s="282"/>
      <c r="E142" s="113"/>
      <c r="F142" s="113"/>
      <c r="G142" s="287"/>
    </row>
    <row r="143" spans="2:7" x14ac:dyDescent="0.35">
      <c r="B143" s="291"/>
      <c r="C143" s="282"/>
      <c r="D143" s="282"/>
      <c r="E143" s="113"/>
      <c r="F143" s="113"/>
      <c r="G143" s="287"/>
    </row>
    <row r="144" spans="2:7" x14ac:dyDescent="0.35">
      <c r="B144" s="291"/>
      <c r="C144" s="282"/>
      <c r="D144" s="282"/>
      <c r="E144" s="113"/>
      <c r="F144" s="113"/>
      <c r="G144" s="287"/>
    </row>
    <row r="145" spans="2:7" x14ac:dyDescent="0.35">
      <c r="B145" s="291"/>
      <c r="C145" s="282"/>
      <c r="D145" s="282"/>
      <c r="E145" s="113"/>
      <c r="F145" s="113"/>
      <c r="G145" s="287"/>
    </row>
    <row r="146" spans="2:7" x14ac:dyDescent="0.35">
      <c r="B146" s="291"/>
      <c r="C146" s="282"/>
      <c r="D146" s="282"/>
      <c r="E146" s="113"/>
      <c r="F146" s="113"/>
      <c r="G146" s="287"/>
    </row>
    <row r="147" spans="2:7" x14ac:dyDescent="0.35">
      <c r="B147" s="291"/>
      <c r="C147" s="282"/>
      <c r="D147" s="282"/>
      <c r="E147" s="113"/>
      <c r="F147" s="113"/>
      <c r="G147" s="287"/>
    </row>
    <row r="148" spans="2:7" x14ac:dyDescent="0.35">
      <c r="B148" s="291"/>
      <c r="C148" s="282"/>
      <c r="D148" s="282"/>
      <c r="E148" s="113"/>
      <c r="F148" s="113"/>
      <c r="G148" s="287"/>
    </row>
    <row r="149" spans="2:7" x14ac:dyDescent="0.35">
      <c r="B149" s="291"/>
      <c r="C149" s="282"/>
      <c r="D149" s="282"/>
      <c r="E149" s="113"/>
      <c r="F149" s="113"/>
      <c r="G149" s="287"/>
    </row>
    <row r="150" spans="2:7" x14ac:dyDescent="0.35">
      <c r="B150" s="291"/>
      <c r="C150" s="282"/>
      <c r="D150" s="282"/>
      <c r="E150" s="113"/>
      <c r="F150" s="113"/>
      <c r="G150" s="287"/>
    </row>
    <row r="151" spans="2:7" x14ac:dyDescent="0.35">
      <c r="B151" s="291"/>
      <c r="C151" s="282"/>
      <c r="D151" s="282"/>
      <c r="E151" s="113"/>
      <c r="F151" s="113"/>
      <c r="G151" s="287"/>
    </row>
    <row r="152" spans="2:7" x14ac:dyDescent="0.35">
      <c r="B152" s="291"/>
      <c r="C152" s="282"/>
      <c r="D152" s="282"/>
      <c r="E152" s="113"/>
      <c r="F152" s="113"/>
      <c r="G152" s="287"/>
    </row>
    <row r="153" spans="2:7" x14ac:dyDescent="0.35">
      <c r="B153" s="291"/>
      <c r="C153" s="282"/>
      <c r="D153" s="282"/>
      <c r="E153" s="113"/>
      <c r="F153" s="113"/>
      <c r="G153" s="287"/>
    </row>
    <row r="154" spans="2:7" x14ac:dyDescent="0.35">
      <c r="B154" s="291"/>
      <c r="C154" s="282"/>
      <c r="D154" s="282"/>
      <c r="E154" s="113"/>
      <c r="F154" s="113"/>
      <c r="G154" s="287"/>
    </row>
    <row r="155" spans="2:7" x14ac:dyDescent="0.35">
      <c r="B155" s="291"/>
      <c r="C155" s="282"/>
      <c r="D155" s="282"/>
      <c r="E155" s="113"/>
      <c r="F155" s="113"/>
      <c r="G155" s="287"/>
    </row>
    <row r="156" spans="2:7" x14ac:dyDescent="0.35">
      <c r="B156" s="291"/>
      <c r="C156" s="282"/>
      <c r="D156" s="282"/>
      <c r="E156" s="113"/>
      <c r="F156" s="113"/>
      <c r="G156" s="287"/>
    </row>
    <row r="157" spans="2:7" x14ac:dyDescent="0.35">
      <c r="B157" s="291"/>
      <c r="C157" s="282"/>
      <c r="D157" s="282"/>
      <c r="E157" s="113"/>
      <c r="F157" s="113"/>
      <c r="G157" s="287"/>
    </row>
    <row r="158" spans="2:7" x14ac:dyDescent="0.35">
      <c r="B158" s="291"/>
      <c r="C158" s="282"/>
      <c r="D158" s="282"/>
      <c r="E158" s="113"/>
      <c r="F158" s="113"/>
      <c r="G158" s="287"/>
    </row>
    <row r="159" spans="2:7" x14ac:dyDescent="0.35">
      <c r="B159" s="291"/>
      <c r="C159" s="282"/>
      <c r="D159" s="282"/>
      <c r="E159" s="113"/>
      <c r="F159" s="113"/>
      <c r="G159" s="287"/>
    </row>
    <row r="160" spans="2:7" x14ac:dyDescent="0.35">
      <c r="B160" s="291"/>
      <c r="C160" s="282"/>
      <c r="D160" s="282"/>
      <c r="E160" s="113"/>
      <c r="F160" s="113"/>
      <c r="G160" s="287"/>
    </row>
    <row r="161" spans="2:7" x14ac:dyDescent="0.35">
      <c r="B161" s="291"/>
      <c r="C161" s="282"/>
      <c r="D161" s="282"/>
      <c r="E161" s="113"/>
      <c r="F161" s="113"/>
      <c r="G161" s="287"/>
    </row>
    <row r="162" spans="2:7" x14ac:dyDescent="0.35">
      <c r="B162" s="291"/>
      <c r="C162" s="282"/>
      <c r="D162" s="282"/>
      <c r="E162" s="113"/>
      <c r="F162" s="113"/>
      <c r="G162" s="287"/>
    </row>
    <row r="163" spans="2:7" x14ac:dyDescent="0.35">
      <c r="B163" s="291"/>
      <c r="C163" s="282"/>
      <c r="D163" s="282"/>
      <c r="E163" s="113"/>
      <c r="F163" s="113"/>
      <c r="G163" s="287"/>
    </row>
    <row r="164" spans="2:7" x14ac:dyDescent="0.35">
      <c r="B164" s="291"/>
      <c r="C164" s="282"/>
      <c r="D164" s="282"/>
      <c r="E164" s="113"/>
      <c r="F164" s="113"/>
      <c r="G164" s="287"/>
    </row>
    <row r="165" spans="2:7" x14ac:dyDescent="0.35">
      <c r="B165" s="291"/>
      <c r="C165" s="282"/>
      <c r="D165" s="282"/>
      <c r="E165" s="113"/>
      <c r="F165" s="113"/>
      <c r="G165" s="287"/>
    </row>
    <row r="166" spans="2:7" x14ac:dyDescent="0.35">
      <c r="B166" s="291"/>
      <c r="C166" s="282"/>
      <c r="D166" s="282"/>
      <c r="E166" s="113"/>
      <c r="F166" s="113"/>
      <c r="G166" s="287"/>
    </row>
    <row r="167" spans="2:7" x14ac:dyDescent="0.35">
      <c r="B167" s="291"/>
      <c r="C167" s="282"/>
      <c r="D167" s="282"/>
      <c r="E167" s="113"/>
      <c r="F167" s="113"/>
      <c r="G167" s="287"/>
    </row>
    <row r="168" spans="2:7" x14ac:dyDescent="0.35">
      <c r="B168" s="291"/>
      <c r="C168" s="282"/>
      <c r="D168" s="282"/>
      <c r="E168" s="113"/>
      <c r="F168" s="113"/>
      <c r="G168" s="287"/>
    </row>
    <row r="169" spans="2:7" x14ac:dyDescent="0.35">
      <c r="B169" s="291"/>
      <c r="C169" s="282"/>
      <c r="D169" s="282"/>
      <c r="E169" s="113"/>
      <c r="F169" s="113"/>
      <c r="G169" s="287"/>
    </row>
    <row r="170" spans="2:7" x14ac:dyDescent="0.35">
      <c r="B170" s="291"/>
      <c r="C170" s="282"/>
      <c r="D170" s="282"/>
      <c r="E170" s="113"/>
      <c r="F170" s="113"/>
      <c r="G170" s="287"/>
    </row>
    <row r="171" spans="2:7" x14ac:dyDescent="0.35">
      <c r="B171" s="291"/>
      <c r="C171" s="282"/>
      <c r="D171" s="282"/>
      <c r="E171" s="113"/>
      <c r="F171" s="113"/>
      <c r="G171" s="287"/>
    </row>
    <row r="172" spans="2:7" x14ac:dyDescent="0.35">
      <c r="B172" s="291"/>
      <c r="C172" s="282"/>
      <c r="D172" s="282"/>
      <c r="E172" s="113"/>
      <c r="F172" s="113"/>
      <c r="G172" s="287"/>
    </row>
    <row r="173" spans="2:7" x14ac:dyDescent="0.35">
      <c r="B173" s="291"/>
      <c r="C173" s="282"/>
      <c r="D173" s="282"/>
      <c r="E173" s="113"/>
      <c r="F173" s="113"/>
      <c r="G173" s="287"/>
    </row>
    <row r="174" spans="2:7" x14ac:dyDescent="0.35">
      <c r="B174" s="291"/>
      <c r="C174" s="282"/>
      <c r="D174" s="282"/>
      <c r="E174" s="113"/>
      <c r="F174" s="113"/>
      <c r="G174" s="287"/>
    </row>
    <row r="175" spans="2:7" x14ac:dyDescent="0.35">
      <c r="B175" s="291"/>
      <c r="C175" s="282"/>
      <c r="D175" s="282"/>
      <c r="E175" s="113"/>
      <c r="F175" s="113"/>
      <c r="G175" s="287"/>
    </row>
    <row r="176" spans="2:7" x14ac:dyDescent="0.35">
      <c r="B176" s="291"/>
      <c r="C176" s="282"/>
      <c r="D176" s="282"/>
      <c r="E176" s="113"/>
      <c r="F176" s="113"/>
      <c r="G176" s="287"/>
    </row>
    <row r="177" spans="2:7" x14ac:dyDescent="0.35">
      <c r="B177" s="291"/>
      <c r="C177" s="282"/>
      <c r="D177" s="282"/>
      <c r="E177" s="113"/>
      <c r="F177" s="113"/>
      <c r="G177" s="287"/>
    </row>
    <row r="178" spans="2:7" x14ac:dyDescent="0.35">
      <c r="B178" s="291"/>
      <c r="C178" s="282"/>
      <c r="D178" s="282"/>
      <c r="E178" s="113"/>
      <c r="F178" s="113"/>
      <c r="G178" s="287"/>
    </row>
    <row r="179" spans="2:7" x14ac:dyDescent="0.35">
      <c r="B179" s="291"/>
      <c r="C179" s="282"/>
      <c r="D179" s="282"/>
      <c r="E179" s="113"/>
      <c r="F179" s="113"/>
      <c r="G179" s="287"/>
    </row>
    <row r="180" spans="2:7" x14ac:dyDescent="0.35">
      <c r="B180" s="291"/>
      <c r="C180" s="282"/>
      <c r="D180" s="282"/>
      <c r="E180" s="113"/>
      <c r="F180" s="113"/>
      <c r="G180" s="287"/>
    </row>
    <row r="181" spans="2:7" x14ac:dyDescent="0.35">
      <c r="B181" s="291"/>
      <c r="C181" s="282"/>
      <c r="D181" s="282"/>
      <c r="E181" s="113"/>
      <c r="F181" s="113"/>
      <c r="G181" s="287"/>
    </row>
    <row r="182" spans="2:7" x14ac:dyDescent="0.35">
      <c r="B182" s="291"/>
      <c r="C182" s="282"/>
      <c r="D182" s="282"/>
      <c r="E182" s="113"/>
      <c r="F182" s="113"/>
      <c r="G182" s="287"/>
    </row>
    <row r="183" spans="2:7" x14ac:dyDescent="0.35">
      <c r="B183" s="291"/>
      <c r="C183" s="282"/>
      <c r="D183" s="282"/>
      <c r="E183" s="113"/>
      <c r="F183" s="113"/>
      <c r="G183" s="287"/>
    </row>
    <row r="184" spans="2:7" x14ac:dyDescent="0.35">
      <c r="B184" s="291"/>
      <c r="C184" s="282"/>
      <c r="D184" s="282"/>
      <c r="E184" s="113"/>
      <c r="F184" s="113"/>
      <c r="G184" s="287"/>
    </row>
    <row r="185" spans="2:7" x14ac:dyDescent="0.35">
      <c r="B185" s="291"/>
      <c r="C185" s="282"/>
      <c r="D185" s="282"/>
      <c r="E185" s="113"/>
      <c r="F185" s="113"/>
      <c r="G185" s="287"/>
    </row>
    <row r="186" spans="2:7" x14ac:dyDescent="0.35">
      <c r="B186" s="291"/>
      <c r="C186" s="282"/>
      <c r="D186" s="282"/>
      <c r="E186" s="113"/>
      <c r="F186" s="113"/>
      <c r="G186" s="287"/>
    </row>
    <row r="187" spans="2:7" x14ac:dyDescent="0.35">
      <c r="B187" s="291"/>
      <c r="C187" s="282"/>
      <c r="D187" s="282"/>
      <c r="E187" s="113"/>
      <c r="F187" s="113"/>
      <c r="G187" s="287"/>
    </row>
    <row r="188" spans="2:7" x14ac:dyDescent="0.35">
      <c r="B188" s="291"/>
      <c r="C188" s="282"/>
      <c r="D188" s="282"/>
      <c r="E188" s="113"/>
      <c r="F188" s="113"/>
      <c r="G188" s="287"/>
    </row>
    <row r="189" spans="2:7" x14ac:dyDescent="0.35">
      <c r="B189" s="291"/>
      <c r="C189" s="282"/>
      <c r="D189" s="282"/>
      <c r="E189" s="113"/>
      <c r="F189" s="113"/>
      <c r="G189" s="287"/>
    </row>
    <row r="190" spans="2:7" x14ac:dyDescent="0.35">
      <c r="B190" s="291"/>
      <c r="C190" s="282"/>
      <c r="D190" s="282"/>
      <c r="E190" s="113"/>
      <c r="F190" s="113"/>
      <c r="G190" s="287"/>
    </row>
    <row r="191" spans="2:7" x14ac:dyDescent="0.35">
      <c r="B191" s="291"/>
      <c r="C191" s="282"/>
      <c r="D191" s="282"/>
      <c r="E191" s="113"/>
      <c r="F191" s="113"/>
      <c r="G191" s="287"/>
    </row>
    <row r="192" spans="2:7" x14ac:dyDescent="0.35">
      <c r="B192" s="291"/>
      <c r="C192" s="282"/>
      <c r="D192" s="282"/>
      <c r="E192" s="113"/>
      <c r="F192" s="113"/>
      <c r="G192" s="287"/>
    </row>
    <row r="193" spans="2:7" x14ac:dyDescent="0.35">
      <c r="B193" s="291"/>
      <c r="C193" s="282"/>
      <c r="D193" s="282"/>
      <c r="E193" s="113"/>
      <c r="F193" s="113"/>
      <c r="G193" s="287"/>
    </row>
    <row r="194" spans="2:7" x14ac:dyDescent="0.35">
      <c r="B194" s="291"/>
      <c r="C194" s="282"/>
      <c r="D194" s="282"/>
      <c r="E194" s="113"/>
      <c r="F194" s="113"/>
      <c r="G194" s="287"/>
    </row>
    <row r="195" spans="2:7" x14ac:dyDescent="0.35">
      <c r="B195" s="291"/>
      <c r="C195" s="282"/>
      <c r="D195" s="282"/>
      <c r="E195" s="113"/>
      <c r="F195" s="113"/>
      <c r="G195" s="287"/>
    </row>
    <row r="196" spans="2:7" x14ac:dyDescent="0.35">
      <c r="B196" s="291"/>
      <c r="C196" s="282"/>
      <c r="D196" s="282"/>
      <c r="E196" s="113"/>
      <c r="F196" s="113"/>
      <c r="G196" s="287"/>
    </row>
    <row r="197" spans="2:7" x14ac:dyDescent="0.35">
      <c r="B197" s="291"/>
      <c r="C197" s="282"/>
      <c r="D197" s="282"/>
      <c r="E197" s="113"/>
      <c r="F197" s="113"/>
      <c r="G197" s="287"/>
    </row>
    <row r="198" spans="2:7" x14ac:dyDescent="0.35">
      <c r="B198" s="291"/>
      <c r="C198" s="282"/>
      <c r="D198" s="282"/>
      <c r="E198" s="113"/>
      <c r="F198" s="113"/>
      <c r="G198" s="287"/>
    </row>
    <row r="199" spans="2:7" x14ac:dyDescent="0.35">
      <c r="B199" s="291"/>
      <c r="C199" s="282"/>
      <c r="D199" s="282"/>
      <c r="E199" s="113"/>
      <c r="F199" s="113"/>
      <c r="G199" s="287"/>
    </row>
    <row r="200" spans="2:7" x14ac:dyDescent="0.35">
      <c r="B200" s="291"/>
      <c r="C200" s="282"/>
      <c r="D200" s="282"/>
      <c r="E200" s="113"/>
      <c r="F200" s="113"/>
      <c r="G200" s="287"/>
    </row>
    <row r="201" spans="2:7" x14ac:dyDescent="0.35">
      <c r="B201" s="291"/>
      <c r="C201" s="282"/>
      <c r="D201" s="282"/>
      <c r="E201" s="113"/>
      <c r="F201" s="113"/>
      <c r="G201" s="287"/>
    </row>
    <row r="202" spans="2:7" x14ac:dyDescent="0.35">
      <c r="B202" s="291"/>
      <c r="C202" s="282"/>
      <c r="D202" s="282"/>
      <c r="E202" s="113"/>
      <c r="F202" s="113"/>
      <c r="G202" s="287"/>
    </row>
    <row r="203" spans="2:7" x14ac:dyDescent="0.35">
      <c r="B203" s="291"/>
      <c r="C203" s="282"/>
      <c r="D203" s="282"/>
      <c r="E203" s="113"/>
      <c r="F203" s="113"/>
      <c r="G203" s="287"/>
    </row>
    <row r="204" spans="2:7" x14ac:dyDescent="0.35">
      <c r="B204" s="291"/>
      <c r="C204" s="282"/>
      <c r="D204" s="282"/>
      <c r="E204" s="113"/>
      <c r="F204" s="113"/>
      <c r="G204" s="287"/>
    </row>
    <row r="205" spans="2:7" x14ac:dyDescent="0.35">
      <c r="B205" s="291"/>
      <c r="C205" s="282"/>
      <c r="D205" s="282"/>
      <c r="E205" s="113"/>
      <c r="F205" s="113"/>
      <c r="G205" s="287"/>
    </row>
    <row r="206" spans="2:7" x14ac:dyDescent="0.35">
      <c r="B206" s="291"/>
      <c r="C206" s="282"/>
      <c r="D206" s="282"/>
      <c r="E206" s="113"/>
      <c r="F206" s="113"/>
      <c r="G206" s="287"/>
    </row>
    <row r="207" spans="2:7" x14ac:dyDescent="0.35">
      <c r="B207" s="291"/>
      <c r="C207" s="282"/>
      <c r="D207" s="282"/>
      <c r="E207" s="113"/>
      <c r="F207" s="113"/>
      <c r="G207" s="287"/>
    </row>
    <row r="208" spans="2:7" x14ac:dyDescent="0.35">
      <c r="B208" s="291"/>
      <c r="C208" s="282"/>
      <c r="D208" s="282"/>
      <c r="E208" s="113"/>
      <c r="F208" s="113"/>
      <c r="G208" s="287"/>
    </row>
    <row r="209" spans="2:7" x14ac:dyDescent="0.35">
      <c r="B209" s="291"/>
      <c r="C209" s="282"/>
      <c r="D209" s="282"/>
      <c r="E209" s="113"/>
      <c r="F209" s="113"/>
      <c r="G209" s="287"/>
    </row>
    <row r="210" spans="2:7" x14ac:dyDescent="0.35">
      <c r="B210" s="291"/>
      <c r="C210" s="282"/>
      <c r="D210" s="282"/>
      <c r="E210" s="113"/>
      <c r="F210" s="113"/>
      <c r="G210" s="287"/>
    </row>
    <row r="211" spans="2:7" x14ac:dyDescent="0.35">
      <c r="B211" s="291"/>
      <c r="C211" s="282"/>
      <c r="D211" s="282"/>
      <c r="E211" s="113"/>
      <c r="F211" s="113"/>
      <c r="G211" s="287"/>
    </row>
    <row r="212" spans="2:7" x14ac:dyDescent="0.35">
      <c r="B212" s="291"/>
      <c r="C212" s="282"/>
      <c r="D212" s="282"/>
      <c r="E212" s="113"/>
      <c r="F212" s="113"/>
      <c r="G212" s="287"/>
    </row>
    <row r="213" spans="2:7" x14ac:dyDescent="0.35">
      <c r="B213" s="291"/>
      <c r="C213" s="282"/>
      <c r="D213" s="282"/>
      <c r="E213" s="113"/>
      <c r="F213" s="113"/>
      <c r="G213" s="287"/>
    </row>
    <row r="214" spans="2:7" x14ac:dyDescent="0.35">
      <c r="B214" s="291"/>
      <c r="C214" s="282"/>
      <c r="D214" s="282"/>
      <c r="E214" s="113"/>
      <c r="F214" s="113"/>
      <c r="G214" s="287"/>
    </row>
    <row r="215" spans="2:7" x14ac:dyDescent="0.35">
      <c r="B215" s="291"/>
      <c r="C215" s="282"/>
      <c r="D215" s="282"/>
      <c r="E215" s="113"/>
      <c r="F215" s="113"/>
      <c r="G215" s="287"/>
    </row>
    <row r="216" spans="2:7" x14ac:dyDescent="0.35">
      <c r="B216" s="291"/>
      <c r="C216" s="282"/>
      <c r="D216" s="282"/>
      <c r="E216" s="113"/>
      <c r="F216" s="113"/>
      <c r="G216" s="287"/>
    </row>
    <row r="217" spans="2:7" x14ac:dyDescent="0.35">
      <c r="B217" s="291"/>
      <c r="C217" s="282"/>
      <c r="D217" s="282"/>
      <c r="E217" s="113"/>
      <c r="F217" s="113"/>
      <c r="G217" s="287"/>
    </row>
    <row r="218" spans="2:7" x14ac:dyDescent="0.35">
      <c r="B218" s="291"/>
      <c r="C218" s="282"/>
      <c r="D218" s="282"/>
      <c r="E218" s="113"/>
      <c r="F218" s="113"/>
      <c r="G218" s="287"/>
    </row>
    <row r="219" spans="2:7" x14ac:dyDescent="0.35">
      <c r="B219" s="291"/>
      <c r="C219" s="282"/>
      <c r="D219" s="282"/>
      <c r="E219" s="113"/>
      <c r="F219" s="113"/>
      <c r="G219" s="287"/>
    </row>
    <row r="220" spans="2:7" x14ac:dyDescent="0.35">
      <c r="B220" s="291"/>
      <c r="C220" s="282"/>
      <c r="D220" s="282"/>
      <c r="E220" s="113"/>
      <c r="F220" s="113"/>
      <c r="G220" s="287"/>
    </row>
    <row r="221" spans="2:7" x14ac:dyDescent="0.35">
      <c r="B221" s="291"/>
      <c r="C221" s="282"/>
      <c r="D221" s="282"/>
      <c r="E221" s="113"/>
      <c r="F221" s="113"/>
      <c r="G221" s="287"/>
    </row>
    <row r="222" spans="2:7" x14ac:dyDescent="0.35">
      <c r="B222" s="291"/>
      <c r="C222" s="282"/>
      <c r="D222" s="282"/>
      <c r="E222" s="113"/>
      <c r="F222" s="113"/>
      <c r="G222" s="287"/>
    </row>
    <row r="223" spans="2:7" x14ac:dyDescent="0.35">
      <c r="B223" s="291"/>
      <c r="C223" s="282"/>
      <c r="D223" s="282"/>
      <c r="E223" s="113"/>
      <c r="F223" s="113"/>
      <c r="G223" s="287"/>
    </row>
    <row r="224" spans="2:7" x14ac:dyDescent="0.35">
      <c r="B224" s="291"/>
      <c r="C224" s="282"/>
      <c r="D224" s="282"/>
      <c r="E224" s="113"/>
      <c r="F224" s="113"/>
      <c r="G224" s="287"/>
    </row>
    <row r="225" spans="2:7" x14ac:dyDescent="0.35">
      <c r="B225" s="291"/>
      <c r="C225" s="282"/>
      <c r="D225" s="282"/>
      <c r="E225" s="113"/>
      <c r="F225" s="113"/>
      <c r="G225" s="287"/>
    </row>
    <row r="226" spans="2:7" x14ac:dyDescent="0.35">
      <c r="B226" s="291"/>
      <c r="C226" s="282"/>
      <c r="D226" s="282"/>
      <c r="E226" s="113"/>
      <c r="F226" s="113"/>
      <c r="G226" s="287"/>
    </row>
    <row r="227" spans="2:7" x14ac:dyDescent="0.35">
      <c r="B227" s="291"/>
      <c r="C227" s="282"/>
      <c r="D227" s="282"/>
      <c r="E227" s="113"/>
      <c r="F227" s="113"/>
      <c r="G227" s="287"/>
    </row>
    <row r="228" spans="2:7" x14ac:dyDescent="0.35">
      <c r="B228" s="291"/>
      <c r="C228" s="282"/>
      <c r="D228" s="282"/>
      <c r="E228" s="113"/>
      <c r="F228" s="113"/>
      <c r="G228" s="287"/>
    </row>
    <row r="229" spans="2:7" x14ac:dyDescent="0.35">
      <c r="B229" s="291"/>
      <c r="C229" s="282"/>
      <c r="D229" s="282"/>
      <c r="E229" s="113"/>
      <c r="F229" s="113"/>
      <c r="G229" s="287"/>
    </row>
    <row r="230" spans="2:7" x14ac:dyDescent="0.35">
      <c r="B230" s="291"/>
      <c r="C230" s="282"/>
      <c r="D230" s="282"/>
      <c r="E230" s="113"/>
      <c r="F230" s="113"/>
      <c r="G230" s="287"/>
    </row>
    <row r="231" spans="2:7" x14ac:dyDescent="0.35">
      <c r="B231" s="291"/>
      <c r="C231" s="282"/>
      <c r="D231" s="282"/>
      <c r="E231" s="113"/>
      <c r="F231" s="113"/>
      <c r="G231" s="287"/>
    </row>
    <row r="232" spans="2:7" x14ac:dyDescent="0.35">
      <c r="B232" s="291"/>
      <c r="C232" s="282"/>
      <c r="D232" s="282"/>
      <c r="E232" s="113"/>
      <c r="F232" s="113"/>
      <c r="G232" s="287"/>
    </row>
    <row r="233" spans="2:7" x14ac:dyDescent="0.35">
      <c r="B233" s="291"/>
      <c r="C233" s="282"/>
      <c r="D233" s="282"/>
      <c r="E233" s="113"/>
      <c r="F233" s="113"/>
      <c r="G233" s="287"/>
    </row>
    <row r="234" spans="2:7" x14ac:dyDescent="0.35">
      <c r="B234" s="291"/>
      <c r="C234" s="282"/>
      <c r="D234" s="282"/>
      <c r="E234" s="113"/>
      <c r="F234" s="113"/>
      <c r="G234" s="287"/>
    </row>
    <row r="235" spans="2:7" x14ac:dyDescent="0.35">
      <c r="B235" s="291"/>
      <c r="C235" s="282"/>
      <c r="D235" s="282"/>
      <c r="E235" s="113"/>
      <c r="F235" s="113"/>
      <c r="G235" s="287"/>
    </row>
    <row r="236" spans="2:7" x14ac:dyDescent="0.35">
      <c r="B236" s="291"/>
      <c r="C236" s="282"/>
      <c r="D236" s="282"/>
      <c r="E236" s="113"/>
      <c r="F236" s="113"/>
      <c r="G236" s="287"/>
    </row>
    <row r="237" spans="2:7" x14ac:dyDescent="0.35">
      <c r="B237" s="291"/>
      <c r="C237" s="282"/>
      <c r="D237" s="282"/>
      <c r="E237" s="113"/>
      <c r="F237" s="113"/>
      <c r="G237" s="287"/>
    </row>
    <row r="238" spans="2:7" x14ac:dyDescent="0.35">
      <c r="B238" s="291"/>
      <c r="C238" s="282"/>
      <c r="D238" s="282"/>
      <c r="E238" s="113"/>
      <c r="F238" s="113"/>
      <c r="G238" s="287"/>
    </row>
    <row r="239" spans="2:7" x14ac:dyDescent="0.35">
      <c r="B239" s="291"/>
      <c r="C239" s="282"/>
      <c r="D239" s="282"/>
      <c r="E239" s="113"/>
      <c r="F239" s="113"/>
      <c r="G239" s="287"/>
    </row>
    <row r="240" spans="2:7" x14ac:dyDescent="0.35">
      <c r="B240" s="291"/>
      <c r="C240" s="282"/>
      <c r="D240" s="282"/>
      <c r="E240" s="113"/>
      <c r="F240" s="113"/>
      <c r="G240" s="287"/>
    </row>
    <row r="241" spans="2:7" x14ac:dyDescent="0.35">
      <c r="B241" s="291"/>
      <c r="C241" s="282"/>
      <c r="D241" s="282"/>
      <c r="E241" s="113"/>
      <c r="F241" s="113"/>
      <c r="G241" s="287"/>
    </row>
    <row r="242" spans="2:7" x14ac:dyDescent="0.35">
      <c r="B242" s="291"/>
      <c r="C242" s="282"/>
      <c r="D242" s="282"/>
      <c r="E242" s="113"/>
      <c r="F242" s="113"/>
      <c r="G242" s="287"/>
    </row>
    <row r="243" spans="2:7" x14ac:dyDescent="0.35">
      <c r="B243" s="291"/>
      <c r="C243" s="282"/>
      <c r="D243" s="282"/>
      <c r="E243" s="113"/>
      <c r="F243" s="113"/>
      <c r="G243" s="287"/>
    </row>
    <row r="244" spans="2:7" x14ac:dyDescent="0.35">
      <c r="B244" s="291"/>
      <c r="C244" s="282"/>
      <c r="D244" s="282"/>
      <c r="E244" s="113"/>
      <c r="F244" s="113"/>
      <c r="G244" s="287"/>
    </row>
    <row r="245" spans="2:7" x14ac:dyDescent="0.35">
      <c r="B245" s="291"/>
      <c r="C245" s="282"/>
      <c r="D245" s="282"/>
      <c r="E245" s="113"/>
      <c r="F245" s="113"/>
      <c r="G245" s="287"/>
    </row>
    <row r="246" spans="2:7" x14ac:dyDescent="0.35">
      <c r="B246" s="291"/>
      <c r="C246" s="282"/>
      <c r="D246" s="282"/>
      <c r="E246" s="113"/>
      <c r="F246" s="113"/>
      <c r="G246" s="287"/>
    </row>
    <row r="247" spans="2:7" x14ac:dyDescent="0.35">
      <c r="B247" s="291"/>
      <c r="C247" s="282"/>
      <c r="D247" s="282"/>
      <c r="E247" s="113"/>
      <c r="F247" s="113"/>
      <c r="G247" s="287"/>
    </row>
    <row r="248" spans="2:7" x14ac:dyDescent="0.35">
      <c r="B248" s="291"/>
      <c r="C248" s="282"/>
      <c r="D248" s="282"/>
      <c r="E248" s="113"/>
      <c r="F248" s="113"/>
      <c r="G248" s="287"/>
    </row>
    <row r="249" spans="2:7" x14ac:dyDescent="0.35">
      <c r="B249" s="291"/>
      <c r="C249" s="282"/>
      <c r="D249" s="282"/>
      <c r="E249" s="113"/>
      <c r="F249" s="113"/>
      <c r="G249" s="287"/>
    </row>
    <row r="250" spans="2:7" x14ac:dyDescent="0.35">
      <c r="B250" s="291"/>
      <c r="C250" s="282"/>
      <c r="D250" s="282"/>
      <c r="E250" s="113"/>
      <c r="F250" s="113"/>
      <c r="G250" s="287"/>
    </row>
    <row r="251" spans="2:7" x14ac:dyDescent="0.35">
      <c r="B251" s="291"/>
      <c r="C251" s="282"/>
      <c r="D251" s="282"/>
      <c r="E251" s="113"/>
      <c r="F251" s="113"/>
      <c r="G251" s="287"/>
    </row>
    <row r="252" spans="2:7" x14ac:dyDescent="0.35">
      <c r="B252" s="291"/>
      <c r="C252" s="282"/>
      <c r="D252" s="282"/>
      <c r="E252" s="113"/>
      <c r="F252" s="113"/>
      <c r="G252" s="287"/>
    </row>
    <row r="253" spans="2:7" x14ac:dyDescent="0.35">
      <c r="B253" s="291"/>
      <c r="C253" s="282"/>
      <c r="D253" s="282"/>
      <c r="E253" s="113"/>
      <c r="F253" s="113"/>
      <c r="G253" s="287"/>
    </row>
    <row r="254" spans="2:7" x14ac:dyDescent="0.35">
      <c r="B254" s="291"/>
      <c r="C254" s="282"/>
      <c r="D254" s="282"/>
      <c r="E254" s="113"/>
      <c r="F254" s="113"/>
      <c r="G254" s="287"/>
    </row>
    <row r="255" spans="2:7" x14ac:dyDescent="0.35">
      <c r="B255" s="291"/>
      <c r="C255" s="282"/>
      <c r="D255" s="282"/>
      <c r="E255" s="113"/>
      <c r="F255" s="113"/>
      <c r="G255" s="287"/>
    </row>
    <row r="256" spans="2:7" x14ac:dyDescent="0.35">
      <c r="B256" s="291"/>
      <c r="C256" s="289"/>
      <c r="D256" s="289"/>
      <c r="E256" s="107"/>
      <c r="F256" s="107"/>
      <c r="G256" s="287"/>
    </row>
    <row r="257" spans="2:7" x14ac:dyDescent="0.35">
      <c r="B257" s="291"/>
      <c r="C257" s="289"/>
      <c r="D257" s="289"/>
      <c r="E257" s="107"/>
      <c r="F257" s="107"/>
      <c r="G257" s="287"/>
    </row>
    <row r="258" spans="2:7" x14ac:dyDescent="0.35">
      <c r="B258" s="291"/>
      <c r="C258" s="289"/>
      <c r="D258" s="289"/>
      <c r="E258" s="107"/>
      <c r="F258" s="107"/>
      <c r="G258" s="287"/>
    </row>
    <row r="259" spans="2:7" x14ac:dyDescent="0.35">
      <c r="B259" s="291"/>
      <c r="C259" s="289"/>
      <c r="D259" s="289"/>
      <c r="E259" s="107"/>
      <c r="F259" s="107"/>
      <c r="G259" s="287"/>
    </row>
    <row r="260" spans="2:7" x14ac:dyDescent="0.35">
      <c r="B260" s="291"/>
      <c r="C260" s="289"/>
      <c r="D260" s="289"/>
      <c r="E260" s="107"/>
      <c r="F260" s="107"/>
      <c r="G260" s="287"/>
    </row>
    <row r="261" spans="2:7" x14ac:dyDescent="0.35">
      <c r="B261" s="291"/>
      <c r="C261" s="289"/>
      <c r="D261" s="289"/>
      <c r="E261" s="107"/>
      <c r="F261" s="107"/>
      <c r="G261" s="287"/>
    </row>
    <row r="262" spans="2:7" x14ac:dyDescent="0.35">
      <c r="B262" s="291"/>
      <c r="C262" s="289"/>
      <c r="D262" s="289"/>
      <c r="E262" s="107"/>
      <c r="F262" s="107"/>
      <c r="G262" s="287"/>
    </row>
    <row r="263" spans="2:7" x14ac:dyDescent="0.35">
      <c r="B263" s="291"/>
      <c r="C263" s="289"/>
      <c r="D263" s="289"/>
      <c r="E263" s="107"/>
      <c r="F263" s="107"/>
      <c r="G263" s="287"/>
    </row>
    <row r="264" spans="2:7" x14ac:dyDescent="0.35">
      <c r="B264" s="291"/>
      <c r="C264" s="289"/>
      <c r="D264" s="289"/>
      <c r="E264" s="107"/>
      <c r="F264" s="107"/>
      <c r="G264" s="287"/>
    </row>
    <row r="265" spans="2:7" x14ac:dyDescent="0.35">
      <c r="B265" s="291"/>
      <c r="C265" s="289"/>
      <c r="D265" s="289"/>
      <c r="E265" s="107"/>
      <c r="F265" s="107"/>
      <c r="G265" s="287"/>
    </row>
    <row r="266" spans="2:7" x14ac:dyDescent="0.35">
      <c r="B266" s="291"/>
      <c r="C266" s="289"/>
      <c r="D266" s="289"/>
      <c r="E266" s="107"/>
      <c r="F266" s="107"/>
      <c r="G266" s="287"/>
    </row>
    <row r="267" spans="2:7" x14ac:dyDescent="0.35">
      <c r="B267" s="291"/>
      <c r="C267" s="289"/>
      <c r="D267" s="289"/>
      <c r="E267" s="107"/>
      <c r="F267" s="107"/>
      <c r="G267" s="287"/>
    </row>
    <row r="268" spans="2:7" x14ac:dyDescent="0.35">
      <c r="B268" s="291"/>
      <c r="C268" s="289"/>
      <c r="D268" s="289"/>
      <c r="E268" s="107"/>
      <c r="F268" s="107"/>
      <c r="G268" s="287"/>
    </row>
    <row r="269" spans="2:7" x14ac:dyDescent="0.35">
      <c r="B269" s="291"/>
      <c r="C269" s="289"/>
      <c r="D269" s="289"/>
      <c r="E269" s="107"/>
      <c r="F269" s="107"/>
      <c r="G269" s="287"/>
    </row>
    <row r="270" spans="2:7" x14ac:dyDescent="0.35">
      <c r="B270" s="291"/>
      <c r="C270" s="289"/>
      <c r="D270" s="289"/>
      <c r="E270" s="107"/>
      <c r="F270" s="107"/>
      <c r="G270" s="287"/>
    </row>
    <row r="271" spans="2:7" x14ac:dyDescent="0.35">
      <c r="B271" s="291"/>
      <c r="C271" s="289"/>
      <c r="D271" s="289"/>
      <c r="E271" s="107"/>
      <c r="F271" s="107"/>
      <c r="G271" s="287"/>
    </row>
    <row r="272" spans="2:7" x14ac:dyDescent="0.35">
      <c r="B272" s="291"/>
      <c r="C272" s="289"/>
      <c r="D272" s="289"/>
      <c r="E272" s="107"/>
      <c r="F272" s="107"/>
      <c r="G272" s="287"/>
    </row>
    <row r="273" spans="2:7" x14ac:dyDescent="0.35">
      <c r="B273" s="291"/>
      <c r="C273" s="289"/>
      <c r="D273" s="289"/>
      <c r="E273" s="107"/>
      <c r="F273" s="107"/>
      <c r="G273" s="287"/>
    </row>
    <row r="274" spans="2:7" x14ac:dyDescent="0.35">
      <c r="B274" s="291"/>
      <c r="C274" s="289"/>
      <c r="D274" s="289"/>
      <c r="E274" s="107"/>
      <c r="F274" s="107"/>
      <c r="G274" s="287"/>
    </row>
    <row r="275" spans="2:7" x14ac:dyDescent="0.35">
      <c r="B275" s="291"/>
      <c r="C275" s="289"/>
      <c r="D275" s="289"/>
      <c r="E275" s="107"/>
      <c r="F275" s="107"/>
      <c r="G275" s="287"/>
    </row>
    <row r="276" spans="2:7" x14ac:dyDescent="0.35">
      <c r="B276" s="291"/>
      <c r="C276" s="289"/>
      <c r="D276" s="289"/>
      <c r="E276" s="107"/>
      <c r="F276" s="107"/>
      <c r="G276" s="287"/>
    </row>
    <row r="277" spans="2:7" x14ac:dyDescent="0.35">
      <c r="B277" s="291"/>
      <c r="C277" s="289"/>
      <c r="D277" s="289"/>
      <c r="E277" s="107"/>
      <c r="F277" s="107"/>
      <c r="G277" s="287"/>
    </row>
    <row r="278" spans="2:7" x14ac:dyDescent="0.35">
      <c r="B278" s="293"/>
      <c r="C278" s="294"/>
      <c r="D278" s="294"/>
      <c r="E278" s="295"/>
      <c r="F278" s="295"/>
      <c r="G278" s="296"/>
    </row>
    <row r="279" spans="2:7" x14ac:dyDescent="0.35">
      <c r="B279" s="292"/>
      <c r="C279" s="289"/>
      <c r="D279" s="289"/>
      <c r="E279" s="107"/>
      <c r="F279" s="107"/>
      <c r="G279" s="107"/>
    </row>
    <row r="280" spans="2:7" x14ac:dyDescent="0.35">
      <c r="B280" s="292"/>
      <c r="C280" s="289"/>
      <c r="D280" s="289"/>
      <c r="E280" s="107"/>
      <c r="F280" s="107"/>
      <c r="G280" s="107"/>
    </row>
    <row r="281" spans="2:7" x14ac:dyDescent="0.35">
      <c r="B281" s="292"/>
      <c r="C281" s="289"/>
      <c r="D281" s="289"/>
      <c r="E281" s="107"/>
      <c r="F281" s="107"/>
      <c r="G281" s="107"/>
    </row>
    <row r="282" spans="2:7" x14ac:dyDescent="0.35">
      <c r="B282" s="292"/>
      <c r="C282" s="289"/>
      <c r="D282" s="289"/>
      <c r="E282" s="107"/>
      <c r="F282" s="107"/>
      <c r="G282" s="107"/>
    </row>
    <row r="283" spans="2:7" x14ac:dyDescent="0.35">
      <c r="B283" s="292"/>
      <c r="C283" s="289"/>
      <c r="D283" s="289"/>
      <c r="E283" s="107"/>
      <c r="F283" s="107"/>
      <c r="G283" s="107"/>
    </row>
    <row r="284" spans="2:7" x14ac:dyDescent="0.35">
      <c r="B284" s="292"/>
      <c r="C284" s="289"/>
      <c r="D284" s="289"/>
      <c r="E284" s="107"/>
      <c r="F284" s="107"/>
      <c r="G284" s="107"/>
    </row>
    <row r="285" spans="2:7" x14ac:dyDescent="0.35">
      <c r="B285" s="292"/>
      <c r="C285" s="289"/>
      <c r="D285" s="289"/>
      <c r="E285" s="107"/>
      <c r="F285" s="107"/>
      <c r="G285" s="107"/>
    </row>
    <row r="286" spans="2:7" x14ac:dyDescent="0.35">
      <c r="B286" s="292"/>
      <c r="C286" s="289"/>
      <c r="D286" s="289"/>
      <c r="E286" s="107"/>
      <c r="F286" s="107"/>
      <c r="G286" s="107"/>
    </row>
    <row r="287" spans="2:7" x14ac:dyDescent="0.35">
      <c r="B287" s="292"/>
      <c r="C287" s="289"/>
      <c r="D287" s="289"/>
      <c r="E287" s="107"/>
      <c r="F287" s="107"/>
      <c r="G287" s="107"/>
    </row>
    <row r="288" spans="2:7" x14ac:dyDescent="0.35">
      <c r="B288" s="292"/>
      <c r="C288" s="289"/>
      <c r="D288" s="289"/>
      <c r="E288" s="107"/>
      <c r="F288" s="107"/>
      <c r="G288" s="107"/>
    </row>
    <row r="289" spans="2:7" x14ac:dyDescent="0.35">
      <c r="B289" s="292"/>
      <c r="C289" s="289"/>
      <c r="D289" s="289"/>
      <c r="E289" s="107"/>
      <c r="F289" s="107"/>
      <c r="G289" s="107"/>
    </row>
    <row r="290" spans="2:7" x14ac:dyDescent="0.35">
      <c r="B290" s="292"/>
      <c r="C290" s="289"/>
      <c r="D290" s="289"/>
      <c r="E290" s="107"/>
      <c r="F290" s="107"/>
      <c r="G290" s="107"/>
    </row>
    <row r="291" spans="2:7" x14ac:dyDescent="0.35">
      <c r="B291" s="292"/>
      <c r="C291" s="289"/>
      <c r="D291" s="289"/>
      <c r="E291" s="107"/>
      <c r="F291" s="107"/>
      <c r="G291" s="107"/>
    </row>
    <row r="292" spans="2:7" x14ac:dyDescent="0.35">
      <c r="B292" s="292"/>
      <c r="C292" s="289"/>
      <c r="D292" s="289"/>
      <c r="E292" s="107"/>
      <c r="F292" s="107"/>
      <c r="G292" s="107"/>
    </row>
    <row r="293" spans="2:7" x14ac:dyDescent="0.35">
      <c r="B293" s="292"/>
      <c r="C293" s="289"/>
      <c r="D293" s="289"/>
      <c r="E293" s="107"/>
      <c r="F293" s="107"/>
      <c r="G293" s="107"/>
    </row>
    <row r="294" spans="2:7" x14ac:dyDescent="0.35">
      <c r="B294" s="292"/>
      <c r="C294" s="289"/>
      <c r="D294" s="289"/>
      <c r="E294" s="107"/>
      <c r="F294" s="107"/>
      <c r="G294" s="107"/>
    </row>
    <row r="295" spans="2:7" x14ac:dyDescent="0.35">
      <c r="B295" s="292"/>
      <c r="C295" s="289"/>
      <c r="D295" s="289"/>
      <c r="E295" s="107"/>
      <c r="F295" s="107"/>
      <c r="G295" s="107"/>
    </row>
    <row r="296" spans="2:7" x14ac:dyDescent="0.35">
      <c r="B296" s="292"/>
      <c r="C296" s="289"/>
      <c r="D296" s="289"/>
      <c r="E296" s="107"/>
      <c r="F296" s="107"/>
      <c r="G296" s="107"/>
    </row>
    <row r="297" spans="2:7" x14ac:dyDescent="0.35">
      <c r="B297" s="292"/>
      <c r="C297" s="289"/>
      <c r="D297" s="289"/>
      <c r="E297" s="107"/>
      <c r="F297" s="107"/>
      <c r="G297" s="107"/>
    </row>
    <row r="298" spans="2:7" x14ac:dyDescent="0.35">
      <c r="B298" s="292"/>
      <c r="C298" s="289"/>
      <c r="D298" s="289"/>
      <c r="E298" s="107"/>
      <c r="F298" s="107"/>
      <c r="G298" s="107"/>
    </row>
    <row r="299" spans="2:7" x14ac:dyDescent="0.35">
      <c r="B299" s="292"/>
      <c r="C299" s="289"/>
      <c r="D299" s="289"/>
      <c r="E299" s="107"/>
      <c r="F299" s="107"/>
      <c r="G299" s="107"/>
    </row>
    <row r="300" spans="2:7" x14ac:dyDescent="0.35">
      <c r="B300" s="292"/>
      <c r="C300" s="289"/>
      <c r="D300" s="289"/>
      <c r="E300" s="107"/>
      <c r="F300" s="107"/>
      <c r="G300" s="107"/>
    </row>
    <row r="301" spans="2:7" x14ac:dyDescent="0.35">
      <c r="B301" s="292"/>
      <c r="C301" s="289"/>
      <c r="D301" s="289"/>
      <c r="E301" s="107"/>
      <c r="F301" s="107"/>
      <c r="G301" s="107"/>
    </row>
    <row r="302" spans="2:7" x14ac:dyDescent="0.35">
      <c r="B302" s="292"/>
      <c r="C302" s="289"/>
      <c r="D302" s="289"/>
      <c r="E302" s="107"/>
      <c r="F302" s="107"/>
      <c r="G302" s="107"/>
    </row>
    <row r="303" spans="2:7" x14ac:dyDescent="0.35">
      <c r="B303" s="292"/>
      <c r="C303" s="289"/>
      <c r="D303" s="289"/>
      <c r="E303" s="107"/>
      <c r="F303" s="107"/>
      <c r="G303" s="107"/>
    </row>
    <row r="304" spans="2:7" x14ac:dyDescent="0.35">
      <c r="B304" s="292"/>
      <c r="C304" s="289"/>
      <c r="D304" s="289"/>
      <c r="E304" s="107"/>
      <c r="F304" s="107"/>
      <c r="G304" s="107"/>
    </row>
    <row r="305" spans="2:7" x14ac:dyDescent="0.35">
      <c r="B305" s="292"/>
      <c r="C305" s="289"/>
      <c r="D305" s="289"/>
      <c r="E305" s="107"/>
      <c r="F305" s="107"/>
      <c r="G305" s="107"/>
    </row>
    <row r="306" spans="2:7" x14ac:dyDescent="0.35">
      <c r="B306" s="292"/>
      <c r="C306" s="289"/>
      <c r="D306" s="289"/>
      <c r="E306" s="107"/>
      <c r="F306" s="107"/>
      <c r="G306" s="107"/>
    </row>
    <row r="307" spans="2:7" x14ac:dyDescent="0.35">
      <c r="B307" s="292"/>
      <c r="C307" s="289"/>
      <c r="D307" s="289"/>
      <c r="E307" s="107"/>
      <c r="F307" s="107"/>
      <c r="G307" s="107"/>
    </row>
    <row r="308" spans="2:7" x14ac:dyDescent="0.35">
      <c r="B308" s="292"/>
      <c r="C308" s="289"/>
      <c r="D308" s="289"/>
      <c r="E308" s="107"/>
      <c r="F308" s="107"/>
      <c r="G308" s="107"/>
    </row>
    <row r="309" spans="2:7" x14ac:dyDescent="0.35">
      <c r="B309" s="292"/>
      <c r="C309" s="289"/>
      <c r="D309" s="289"/>
      <c r="E309" s="107"/>
      <c r="F309" s="107"/>
      <c r="G309" s="107"/>
    </row>
    <row r="310" spans="2:7" x14ac:dyDescent="0.35">
      <c r="B310" s="292"/>
      <c r="C310" s="289"/>
      <c r="D310" s="289"/>
      <c r="E310" s="107"/>
      <c r="F310" s="107"/>
      <c r="G310" s="107"/>
    </row>
    <row r="311" spans="2:7" x14ac:dyDescent="0.35">
      <c r="B311" s="289"/>
      <c r="C311" s="289"/>
      <c r="D311" s="289"/>
      <c r="E311" s="107"/>
      <c r="F311" s="107"/>
      <c r="G311" s="107"/>
    </row>
    <row r="312" spans="2:7" x14ac:dyDescent="0.35">
      <c r="B312" s="289"/>
      <c r="C312" s="289"/>
      <c r="D312" s="289"/>
      <c r="E312" s="107"/>
      <c r="F312" s="107"/>
      <c r="G312" s="107"/>
    </row>
    <row r="313" spans="2:7" x14ac:dyDescent="0.35">
      <c r="B313" s="289"/>
      <c r="C313" s="289"/>
      <c r="D313" s="289"/>
      <c r="E313" s="107"/>
      <c r="F313" s="107"/>
      <c r="G313" s="107"/>
    </row>
    <row r="314" spans="2:7" x14ac:dyDescent="0.35">
      <c r="B314" s="289"/>
      <c r="C314" s="289"/>
      <c r="D314" s="289"/>
      <c r="E314" s="107"/>
      <c r="F314" s="107"/>
      <c r="G314" s="107"/>
    </row>
    <row r="315" spans="2:7" x14ac:dyDescent="0.35">
      <c r="B315" s="289"/>
      <c r="C315" s="289"/>
      <c r="D315" s="289"/>
      <c r="E315" s="107"/>
      <c r="F315" s="107"/>
      <c r="G315" s="107"/>
    </row>
    <row r="316" spans="2:7" x14ac:dyDescent="0.35">
      <c r="B316" s="289"/>
      <c r="C316" s="289"/>
      <c r="D316" s="289"/>
      <c r="E316" s="107"/>
      <c r="F316" s="107"/>
      <c r="G316" s="107"/>
    </row>
    <row r="317" spans="2:7" x14ac:dyDescent="0.35">
      <c r="B317" s="289"/>
      <c r="C317" s="289"/>
      <c r="D317" s="289"/>
      <c r="E317" s="107"/>
      <c r="F317" s="107"/>
      <c r="G317" s="107"/>
    </row>
    <row r="318" spans="2:7" x14ac:dyDescent="0.35">
      <c r="B318" s="289"/>
      <c r="C318" s="289"/>
      <c r="D318" s="289"/>
      <c r="E318" s="107"/>
      <c r="F318" s="107"/>
      <c r="G318" s="107"/>
    </row>
    <row r="319" spans="2:7" x14ac:dyDescent="0.35">
      <c r="B319" s="289"/>
      <c r="C319" s="289"/>
      <c r="D319" s="289"/>
      <c r="E319" s="107"/>
      <c r="F319" s="107"/>
      <c r="G319" s="107"/>
    </row>
    <row r="320" spans="2:7" x14ac:dyDescent="0.35">
      <c r="B320" s="289"/>
      <c r="C320" s="289"/>
      <c r="D320" s="289"/>
      <c r="E320" s="107"/>
      <c r="F320" s="107"/>
      <c r="G320" s="107"/>
    </row>
    <row r="321" spans="2:7" x14ac:dyDescent="0.35">
      <c r="B321" s="289"/>
      <c r="C321" s="289"/>
      <c r="D321" s="289"/>
      <c r="E321" s="107"/>
      <c r="F321" s="107"/>
      <c r="G321" s="107"/>
    </row>
  </sheetData>
  <sheetProtection algorithmName="SHA-512" hashValue="jr4GqbAmtwN3Bd9TQ/hP5xa6U+4dnwhW1zOdYuc4CgNY8kgH7SgEX+ZdwZCwqu3KSKG738ihd2DDZ7ESMZGgOA==" saltValue="UravfcdIvJZsQJWk9o6CJQ==" spinCount="100000" sheet="1" objects="1" scenarios="1" selectLockedCells="1" selectUnlockedCells="1"/>
  <mergeCells count="73">
    <mergeCell ref="B90:C90"/>
    <mergeCell ref="B76:G76"/>
    <mergeCell ref="B48:G48"/>
    <mergeCell ref="B50:G50"/>
    <mergeCell ref="B60:G60"/>
    <mergeCell ref="B77:G77"/>
    <mergeCell ref="B88:G88"/>
    <mergeCell ref="B79:C79"/>
    <mergeCell ref="B61:G61"/>
    <mergeCell ref="B62:G62"/>
    <mergeCell ref="B73:G73"/>
    <mergeCell ref="B63:G63"/>
    <mergeCell ref="B64:G64"/>
    <mergeCell ref="B65:G65"/>
    <mergeCell ref="B66:G66"/>
    <mergeCell ref="B67:G67"/>
    <mergeCell ref="B117:D117"/>
    <mergeCell ref="B116:D116"/>
    <mergeCell ref="E116:G116"/>
    <mergeCell ref="B22:G22"/>
    <mergeCell ref="B114:G114"/>
    <mergeCell ref="B115:G115"/>
    <mergeCell ref="B23:G23"/>
    <mergeCell ref="B24:G24"/>
    <mergeCell ref="B25:G25"/>
    <mergeCell ref="B26:G26"/>
    <mergeCell ref="B27:G27"/>
    <mergeCell ref="B28:G28"/>
    <mergeCell ref="B29:G29"/>
    <mergeCell ref="B34:G34"/>
    <mergeCell ref="B75:G75"/>
    <mergeCell ref="B42:G42"/>
    <mergeCell ref="B1:E1"/>
    <mergeCell ref="B6:G6"/>
    <mergeCell ref="B8:G8"/>
    <mergeCell ref="B9:G9"/>
    <mergeCell ref="B11:G11"/>
    <mergeCell ref="B7:G7"/>
    <mergeCell ref="B10:G10"/>
    <mergeCell ref="F2:G3"/>
    <mergeCell ref="C4:E5"/>
    <mergeCell ref="C3:E3"/>
    <mergeCell ref="C2:E2"/>
    <mergeCell ref="B12:G12"/>
    <mergeCell ref="B14:G14"/>
    <mergeCell ref="B49:G49"/>
    <mergeCell ref="B15:G15"/>
    <mergeCell ref="B21:G21"/>
    <mergeCell ref="C16:G16"/>
    <mergeCell ref="C17:G17"/>
    <mergeCell ref="C18:G18"/>
    <mergeCell ref="C19:G19"/>
    <mergeCell ref="C20:G20"/>
    <mergeCell ref="E31:G31"/>
    <mergeCell ref="E32:G32"/>
    <mergeCell ref="E33:G33"/>
    <mergeCell ref="E30:G30"/>
    <mergeCell ref="E35:G35"/>
    <mergeCell ref="B72:G72"/>
    <mergeCell ref="B68:F68"/>
    <mergeCell ref="B69:F69"/>
    <mergeCell ref="B70:F70"/>
    <mergeCell ref="B13:G13"/>
    <mergeCell ref="E36:G36"/>
    <mergeCell ref="E37:G37"/>
    <mergeCell ref="E38:G38"/>
    <mergeCell ref="E39:G39"/>
    <mergeCell ref="E40:G40"/>
    <mergeCell ref="B43:G43"/>
    <mergeCell ref="C44:G44"/>
    <mergeCell ref="C45:G45"/>
    <mergeCell ref="C46:G46"/>
    <mergeCell ref="C47:G47"/>
  </mergeCells>
  <conditionalFormatting sqref="B2:C4 B1:G1 F2:G5 B5 B6:G78 B79:B80 D79:G80 B80:C86 B81:G89 B90 D90:G90 B91:G115 E116 B116:B278 E117:G117 B118:G1048576">
    <cfRule type="endsWith" dxfId="202" priority="2" operator="endsWith" text="Low">
      <formula>RIGHT(B1,LEN("Low"))="Low"</formula>
    </cfRule>
  </conditionalFormatting>
  <conditionalFormatting sqref="B1:G1 B2:C4 F2:G5 B5 B6:G78 B79:B80 D79:G80 B80:C86 B81:G89 B90 D90:G90 B91:G115 E116 B116:B278 E117:G117 B118:G1048576">
    <cfRule type="endsWith" dxfId="201" priority="3" operator="endsWith" text="Moderate">
      <formula>RIGHT(B1,LEN("Moderate"))="Moderate"</formula>
    </cfRule>
    <cfRule type="endsWith" dxfId="200" priority="4" operator="endsWith" text="High">
      <formula>RIGHT(B1,LEN("High"))="High"</formula>
    </cfRule>
    <cfRule type="endsWith" dxfId="199" priority="5" operator="endsWith" text="Extreme">
      <formula>RIGHT(B1,LEN("Extreme"))="Extreme"</formula>
    </cfRule>
  </conditionalFormatting>
  <conditionalFormatting sqref="C2:C4">
    <cfRule type="cellIs" dxfId="198" priority="1" operator="notEqual">
      <formula>"""Incomplete"""</formula>
    </cfRule>
  </conditionalFormatting>
  <hyperlinks>
    <hyperlink ref="G68" r:id="rId1" display="https://www.vmgd.gov.vu/vmgd/index.php" xr:uid="{8A1E5A68-DF1D-4132-AACA-2479D9835BBF}"/>
    <hyperlink ref="G69" r:id="rId2" display="https://www.nab.vu/" xr:uid="{75A7584D-FAF8-48CB-A0CE-1194B883956F}"/>
    <hyperlink ref="G70" r:id="rId3" display="https://www.vanclimatefutures.gov.vu/dashboard/home" xr:uid="{A8963888-97D3-4994-9E3B-35C42DEA276D}"/>
  </hyperlinks>
  <pageMargins left="0.25" right="0.25" top="0.75" bottom="0.75" header="0.3" footer="0.3"/>
  <pageSetup scale="83" fitToHeight="0" orientation="portrait" r:id="rId4"/>
  <rowBreaks count="9" manualBreakCount="9">
    <brk id="22" min="1" max="6" man="1"/>
    <brk id="34" min="1" max="6" man="1"/>
    <brk id="48" min="1" max="6" man="1"/>
    <brk id="74" min="1" max="6" man="1"/>
    <brk id="113" min="1" max="6" man="1"/>
    <brk id="159" min="1" max="6" man="1"/>
    <brk id="207" min="1" max="6" man="1"/>
    <brk id="255" min="1" max="6" man="1"/>
    <brk id="303" min="1" max="6" man="1"/>
  </rowBreaks>
  <colBreaks count="1" manualBreakCount="1">
    <brk id="7" max="1048575" man="1"/>
  </colBreaks>
  <drawing r:id="rId5"/>
  <extLst>
    <ext xmlns:x14="http://schemas.microsoft.com/office/spreadsheetml/2009/9/main" uri="{78C0D931-6437-407d-A8EE-F0AAD7539E65}">
      <x14:conditionalFormattings>
        <x14:conditionalFormatting xmlns:xm="http://schemas.microsoft.com/office/excel/2006/main">
          <x14:cfRule type="cellIs" priority="8" operator="equal" id="{BDDD25E8-508A-44CA-8CE9-DE2AEA36302B}">
            <xm:f>'Backroom - report content'!$E$4</xm:f>
            <x14:dxf>
              <font>
                <b val="0"/>
                <i/>
              </font>
              <fill>
                <patternFill>
                  <bgColor theme="7" tint="0.59996337778862885"/>
                </patternFill>
              </fill>
            </x14:dxf>
          </x14:cfRule>
          <xm:sqref>C2:C4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B8DED-BC6C-4E60-BDE1-5A0A7B73231A}">
  <sheetPr codeName="Sheet6">
    <pageSetUpPr fitToPage="1"/>
  </sheetPr>
  <dimension ref="A1:Q37"/>
  <sheetViews>
    <sheetView showRowColHeaders="0" zoomScale="70" zoomScaleNormal="70" workbookViewId="0">
      <selection activeCell="J35" sqref="J35"/>
    </sheetView>
  </sheetViews>
  <sheetFormatPr defaultRowHeight="17.5" x14ac:dyDescent="0.35"/>
  <cols>
    <col min="2" max="2" width="9" customWidth="1"/>
    <col min="17" max="17" width="9" style="23"/>
  </cols>
  <sheetData>
    <row r="1" spans="1:16" ht="20.149999999999999" customHeight="1" x14ac:dyDescent="0.35">
      <c r="A1" s="566" t="s">
        <v>541</v>
      </c>
      <c r="B1" s="567"/>
      <c r="C1" s="567"/>
      <c r="D1" s="567"/>
      <c r="E1" s="567"/>
      <c r="F1" s="567"/>
      <c r="G1" s="567"/>
      <c r="H1" s="567"/>
      <c r="I1" s="363"/>
      <c r="J1" s="363"/>
      <c r="K1" s="565" t="s">
        <v>26</v>
      </c>
      <c r="L1" s="565"/>
      <c r="M1" s="565"/>
      <c r="N1" s="565"/>
      <c r="O1" s="565"/>
      <c r="P1" s="565"/>
    </row>
    <row r="2" spans="1:16" x14ac:dyDescent="0.35">
      <c r="A2" s="364" t="s">
        <v>510</v>
      </c>
    </row>
    <row r="3" spans="1:16" x14ac:dyDescent="0.35">
      <c r="A3" s="364" t="s">
        <v>511</v>
      </c>
    </row>
    <row r="4" spans="1:16" x14ac:dyDescent="0.35">
      <c r="A4" s="26"/>
    </row>
    <row r="5" spans="1:16" x14ac:dyDescent="0.35">
      <c r="A5" s="26"/>
    </row>
    <row r="6" spans="1:16" x14ac:dyDescent="0.35">
      <c r="A6" s="26"/>
    </row>
    <row r="7" spans="1:16" x14ac:dyDescent="0.35">
      <c r="A7" s="26"/>
    </row>
    <row r="8" spans="1:16" x14ac:dyDescent="0.35">
      <c r="A8" s="26"/>
    </row>
    <row r="9" spans="1:16" x14ac:dyDescent="0.35">
      <c r="A9" s="26"/>
    </row>
    <row r="10" spans="1:16" x14ac:dyDescent="0.35">
      <c r="A10" s="26"/>
    </row>
    <row r="11" spans="1:16" x14ac:dyDescent="0.35">
      <c r="A11" s="26"/>
    </row>
    <row r="12" spans="1:16" x14ac:dyDescent="0.35">
      <c r="A12" s="26"/>
    </row>
    <row r="13" spans="1:16" x14ac:dyDescent="0.35">
      <c r="A13" s="26"/>
    </row>
    <row r="14" spans="1:16" x14ac:dyDescent="0.35">
      <c r="A14" s="26"/>
    </row>
    <row r="15" spans="1:16" x14ac:dyDescent="0.35">
      <c r="A15" s="26"/>
    </row>
    <row r="16" spans="1:16" x14ac:dyDescent="0.35">
      <c r="A16" s="26"/>
    </row>
    <row r="17" spans="1:1" x14ac:dyDescent="0.35">
      <c r="A17" s="26"/>
    </row>
    <row r="18" spans="1:1" x14ac:dyDescent="0.35">
      <c r="A18" s="26"/>
    </row>
    <row r="19" spans="1:1" x14ac:dyDescent="0.35">
      <c r="A19" s="26"/>
    </row>
    <row r="20" spans="1:1" x14ac:dyDescent="0.35">
      <c r="A20" s="26"/>
    </row>
    <row r="21" spans="1:1" x14ac:dyDescent="0.35">
      <c r="A21" s="26"/>
    </row>
    <row r="22" spans="1:1" x14ac:dyDescent="0.35">
      <c r="A22" s="26"/>
    </row>
    <row r="23" spans="1:1" x14ac:dyDescent="0.35">
      <c r="A23" s="26"/>
    </row>
    <row r="24" spans="1:1" x14ac:dyDescent="0.35">
      <c r="A24" s="26"/>
    </row>
    <row r="25" spans="1:1" x14ac:dyDescent="0.35">
      <c r="A25" s="26"/>
    </row>
    <row r="26" spans="1:1" x14ac:dyDescent="0.35">
      <c r="A26" s="26"/>
    </row>
    <row r="27" spans="1:1" x14ac:dyDescent="0.35">
      <c r="A27" s="26"/>
    </row>
    <row r="28" spans="1:1" x14ac:dyDescent="0.35">
      <c r="A28" s="26"/>
    </row>
    <row r="29" spans="1:1" x14ac:dyDescent="0.35">
      <c r="A29" s="26"/>
    </row>
    <row r="30" spans="1:1" x14ac:dyDescent="0.35">
      <c r="A30" s="26"/>
    </row>
    <row r="31" spans="1:1" x14ac:dyDescent="0.35">
      <c r="A31" s="26"/>
    </row>
    <row r="32" spans="1:1" x14ac:dyDescent="0.35">
      <c r="A32" s="26"/>
    </row>
    <row r="33" spans="1:1" x14ac:dyDescent="0.35">
      <c r="A33" s="26"/>
    </row>
    <row r="34" spans="1:1" x14ac:dyDescent="0.35">
      <c r="A34" s="26"/>
    </row>
    <row r="35" spans="1:1" x14ac:dyDescent="0.35">
      <c r="A35" s="26"/>
    </row>
    <row r="36" spans="1:1" x14ac:dyDescent="0.35">
      <c r="A36" s="26"/>
    </row>
    <row r="37" spans="1:1" x14ac:dyDescent="0.35">
      <c r="A37" s="26"/>
    </row>
  </sheetData>
  <sheetProtection insertHyperlinks="0"/>
  <mergeCells count="2">
    <mergeCell ref="K1:P1"/>
    <mergeCell ref="A1:H1"/>
  </mergeCells>
  <pageMargins left="0.7" right="0.7" top="0.75" bottom="0.75" header="0.3" footer="0.3"/>
  <pageSetup paperSize="9"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9B316-0BBE-4079-A22F-1A9D74406EB7}">
  <sheetPr codeName="Sheet7"/>
  <dimension ref="A1:AF172"/>
  <sheetViews>
    <sheetView zoomScale="54" zoomScaleNormal="54" workbookViewId="0">
      <selection activeCell="D39" sqref="D39"/>
    </sheetView>
  </sheetViews>
  <sheetFormatPr defaultColWidth="22.25" defaultRowHeight="17.5" x14ac:dyDescent="0.35"/>
  <cols>
    <col min="1" max="1" width="7.0625" customWidth="1"/>
    <col min="2" max="2" width="13.5625" customWidth="1"/>
    <col min="3" max="24" width="10.9375" customWidth="1"/>
    <col min="25" max="31" width="11" customWidth="1"/>
    <col min="32" max="44" width="7.625" customWidth="1"/>
  </cols>
  <sheetData>
    <row r="1" spans="1:31" s="117" customFormat="1" ht="18" x14ac:dyDescent="0.35">
      <c r="A1" s="359" t="s">
        <v>517</v>
      </c>
    </row>
    <row r="2" spans="1:31" ht="20" x14ac:dyDescent="0.35">
      <c r="A2" s="357" t="s">
        <v>84</v>
      </c>
      <c r="B2" s="61"/>
      <c r="C2" s="61"/>
      <c r="D2" s="568" t="s">
        <v>85</v>
      </c>
      <c r="E2" s="568"/>
      <c r="F2" s="568"/>
      <c r="G2" s="568"/>
      <c r="H2" s="568"/>
      <c r="I2" s="568"/>
      <c r="J2" s="568"/>
      <c r="K2" s="569" t="s">
        <v>86</v>
      </c>
      <c r="L2" s="569"/>
      <c r="M2" s="569"/>
      <c r="N2" s="569"/>
      <c r="O2" s="569"/>
      <c r="P2" s="569"/>
      <c r="Q2" s="569"/>
      <c r="R2" s="569" t="s">
        <v>87</v>
      </c>
      <c r="S2" s="569"/>
      <c r="T2" s="569"/>
      <c r="U2" s="569"/>
      <c r="V2" s="569"/>
      <c r="W2" s="569"/>
      <c r="X2" s="569"/>
      <c r="Y2" s="569" t="s">
        <v>88</v>
      </c>
      <c r="Z2" s="569"/>
      <c r="AA2" s="569"/>
      <c r="AB2" s="569"/>
      <c r="AC2" s="569"/>
      <c r="AD2" s="569"/>
      <c r="AE2" s="569"/>
    </row>
    <row r="3" spans="1:31" ht="18.5" thickBot="1" x14ac:dyDescent="0.4">
      <c r="A3" s="346" t="s">
        <v>516</v>
      </c>
      <c r="B3" s="80" t="s">
        <v>89</v>
      </c>
      <c r="C3" s="80" t="s">
        <v>90</v>
      </c>
      <c r="D3" s="81" t="s">
        <v>91</v>
      </c>
      <c r="E3" s="81" t="s">
        <v>92</v>
      </c>
      <c r="F3" s="81" t="s">
        <v>93</v>
      </c>
      <c r="G3" s="81" t="s">
        <v>94</v>
      </c>
      <c r="H3" s="81" t="s">
        <v>450</v>
      </c>
      <c r="I3" s="81" t="s">
        <v>95</v>
      </c>
      <c r="J3" s="81" t="s">
        <v>441</v>
      </c>
      <c r="K3" s="81" t="s">
        <v>96</v>
      </c>
      <c r="L3" s="81" t="s">
        <v>97</v>
      </c>
      <c r="M3" s="81" t="s">
        <v>98</v>
      </c>
      <c r="N3" s="81" t="s">
        <v>99</v>
      </c>
      <c r="O3" s="81" t="s">
        <v>451</v>
      </c>
      <c r="P3" s="81" t="s">
        <v>100</v>
      </c>
      <c r="Q3" s="81" t="s">
        <v>452</v>
      </c>
      <c r="R3" s="81" t="s">
        <v>101</v>
      </c>
      <c r="S3" s="81" t="s">
        <v>102</v>
      </c>
      <c r="T3" s="81" t="s">
        <v>103</v>
      </c>
      <c r="U3" s="81" t="s">
        <v>104</v>
      </c>
      <c r="V3" s="81" t="s">
        <v>453</v>
      </c>
      <c r="W3" s="81" t="s">
        <v>105</v>
      </c>
      <c r="X3" s="81" t="s">
        <v>454</v>
      </c>
      <c r="Y3" s="81" t="s">
        <v>106</v>
      </c>
      <c r="Z3" s="81" t="s">
        <v>107</v>
      </c>
      <c r="AA3" s="81" t="s">
        <v>108</v>
      </c>
      <c r="AB3" s="81" t="s">
        <v>109</v>
      </c>
      <c r="AC3" s="81" t="s">
        <v>455</v>
      </c>
      <c r="AD3" s="81" t="s">
        <v>110</v>
      </c>
      <c r="AE3" s="81" t="s">
        <v>456</v>
      </c>
    </row>
    <row r="4" spans="1:31" ht="18" x14ac:dyDescent="0.35">
      <c r="A4" s="349">
        <v>1</v>
      </c>
      <c r="B4" s="352" t="s">
        <v>111</v>
      </c>
      <c r="C4" s="353" t="s">
        <v>112</v>
      </c>
      <c r="D4"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E</v>
      </c>
      <c r="E4"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H</v>
      </c>
      <c r="F4"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E</v>
      </c>
      <c r="G4"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L</v>
      </c>
      <c r="H4"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E</v>
      </c>
      <c r="I4"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E</v>
      </c>
      <c r="J4"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H</v>
      </c>
      <c r="K4" s="21" t="str" cm="1">
        <f t="array" ref="K4">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M</v>
      </c>
      <c r="L4" s="50" t="str" cm="1">
        <f t="array" ref="L4">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L</v>
      </c>
      <c r="M4" s="50" t="str" cm="1">
        <f t="array" ref="M4">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4" s="50" t="str" cm="1">
        <f t="array" ref="N4">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L</v>
      </c>
      <c r="O4" s="50" t="str" cm="1">
        <f t="array" ref="O4">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H</v>
      </c>
      <c r="P4" s="50" t="str" cm="1">
        <f t="array" ref="P4">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H</v>
      </c>
      <c r="Q4" s="95" t="str" cm="1">
        <f t="array" ref="Q4">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H</v>
      </c>
      <c r="R4" s="100" t="str" cm="1">
        <f t="array" ref="R4">_xlfn.XLOOKUP(1,(Exp_Combos[Elements at Risk]=Final_VEValues[[#This Row],[Elements at Risk]])*(Exp_Combos[EP - Coastal Inundation]=Final_VEValues[[#This Row],[EP - Coastal Inundation]]),Exp_Combos[E2050 - Coastal Inundation],"",0)</f>
        <v>H</v>
      </c>
      <c r="S4" s="100" t="str" cm="1">
        <f t="array" ref="S4">_xlfn.XLOOKUP(1,(Exp_Combos[Elements at Risk]=Final_VEValues[[#This Row],[Elements at Risk]])*(Exp_Combos[EP - Extreme Rainfall]=Final_VEValues[[#This Row],[EP - Extreme Rainfall]]),Exp_Combos[E2050 - Extreme Rainfall],"",0)</f>
        <v>L</v>
      </c>
      <c r="T4" s="100" t="str" cm="1">
        <f t="array" ref="T4">_xlfn.XLOOKUP(1,(Exp_Combos[Elements at Risk]=Final_VEValues[[#This Row],[Elements at Risk]])*(Exp_Combos[EP - Tropical Cyclone]=Final_VEValues[[#This Row],[EP - Tropical Cyclone]]),Exp_Combos[E2050 - Tropical Cyclone],"",0)</f>
        <v>E</v>
      </c>
      <c r="U4" s="100" t="str" cm="1">
        <f t="array" ref="U4">_xlfn.XLOOKUP(1,(Exp_Combos[Elements at Risk]=Final_VEValues[[#This Row],[Elements at Risk]])*(Exp_Combos[EP - Drought]=Final_VEValues[[#This Row],[EP - Drought]]),Exp_Combos[E2050 - Drought],"",0)</f>
        <v>L</v>
      </c>
      <c r="V4" s="100" t="str" cm="1">
        <f t="array" ref="V4">_xlfn.XLOOKUP(1,(Exp_Combos[Elements at Risk]=Final_VEValues[[#This Row],[Elements at Risk]])*(Exp_Combos[EP - Marine Heat Waves]=Final_VEValues[[#This Row],[EP - Marine Heat Waves]]),Exp_Combos[E2050 - Marine Heat Waves],"",0)</f>
        <v>E</v>
      </c>
      <c r="W4" s="100" t="str" cm="1">
        <f t="array" ref="W4">_xlfn.XLOOKUP(1,(Exp_Combos[Elements at Risk]=Final_VEValues[[#This Row],[Elements at Risk]])*(Exp_Combos[EP - Ocean Acidification]=Final_VEValues[[#This Row],[EP - Ocean Acidification]]),Exp_Combos[E2050 - Ocean Acidification],"",0)</f>
        <v>H</v>
      </c>
      <c r="X4" s="339" t="str" cm="1">
        <f t="array" ref="X4">_xlfn.XLOOKUP(1,(Exp_Combos[Elements at Risk]=Final_VEValues[[#This Row],[Elements at Risk]])*(Exp_Combos[EP - Extreme Temperature]=Final_VEValues[[#This Row],[EP - Extreme Temperature]]),Exp_Combos[E2050 - Extreme Temperature],"",0)</f>
        <v>E</v>
      </c>
      <c r="Y4" s="100" t="str" cm="1">
        <f t="array" ref="Y4">_xlfn.XLOOKUP(1,(Exp_Combos[Elements at Risk]=Final_VEValues[[#This Row],[Elements at Risk]])*(Exp_Combos[EP - Coastal Inundation]=Final_VEValues[[#This Row],[EP - Coastal Inundation]]),Exp_Combos[E2100 - Coastal Inundation],"",0)</f>
        <v>E</v>
      </c>
      <c r="Z4" s="100" t="str" cm="1">
        <f t="array" ref="Z4">_xlfn.XLOOKUP(1,(Exp_Combos[Elements at Risk]=Final_VEValues[[#This Row],[Elements at Risk]])*(Exp_Combos[EP - Extreme Rainfall]=Final_VEValues[[#This Row],[EP - Extreme Rainfall]]),Exp_Combos[E2100 - Extreme Rainfall],"",0)</f>
        <v>M</v>
      </c>
      <c r="AA4" s="100" t="str" cm="1">
        <f t="array" ref="AA4">_xlfn.XLOOKUP(1,(Exp_Combos[Elements at Risk]=Final_VEValues[[#This Row],[Elements at Risk]])*(Exp_Combos[EP - Tropical Cyclone]=Final_VEValues[[#This Row],[EP - Tropical Cyclone]]),Exp_Combos[E2100 - Tropical Cyclone],"",0)</f>
        <v>E</v>
      </c>
      <c r="AB4" s="100" t="str" cm="1">
        <f t="array" ref="AB4">_xlfn.XLOOKUP(1,(Exp_Combos[Elements at Risk]=Final_VEValues[[#This Row],[Elements at Risk]])*(Exp_Combos[EP - Drought]=Final_VEValues[[#This Row],[EP - Drought]]),Exp_Combos[E2100 - Drought],"",0)</f>
        <v>L</v>
      </c>
      <c r="AC4" s="100" t="str" cm="1">
        <f t="array" ref="AC4">_xlfn.XLOOKUP(1,(Exp_Combos[Elements at Risk]=Final_VEValues[[#This Row],[Elements at Risk]])*(Exp_Combos[EP - Marine Heat Waves]=Final_VEValues[[#This Row],[EP - Marine Heat Waves]]),Exp_Combos[E2100 - Marine Heat Waves],"",0)</f>
        <v>E</v>
      </c>
      <c r="AD4" s="100" t="str" cm="1">
        <f t="array" ref="AD4">_xlfn.XLOOKUP(1,(Exp_Combos[Elements at Risk]=Final_VEValues[[#This Row],[Elements at Risk]])*(Exp_Combos[EP - Ocean Acidification]=Final_VEValues[[#This Row],[EP - Ocean Acidification]]),Exp_Combos[E2100 - Ocean Acidification],"",0)</f>
        <v>E</v>
      </c>
      <c r="AE4" s="340" t="str" cm="1">
        <f t="array" ref="AE4">_xlfn.XLOOKUP(1,(Exp_Combos[Elements at Risk]=Final_VEValues[[#This Row],[Elements at Risk]])*(Exp_Combos[EP - Extreme Temperature]=Final_VEValues[[#This Row],[EP - Extreme Temperature]]),Exp_Combos[E2100 - Extreme Temperature],"",0)</f>
        <v>E</v>
      </c>
    </row>
    <row r="5" spans="1:31" ht="18" x14ac:dyDescent="0.35">
      <c r="A5" s="350">
        <v>2</v>
      </c>
      <c r="B5" s="75" t="s">
        <v>111</v>
      </c>
      <c r="C5" s="93" t="s">
        <v>117</v>
      </c>
      <c r="D5"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L</v>
      </c>
      <c r="E5"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E</v>
      </c>
      <c r="F5"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E</v>
      </c>
      <c r="G5"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E</v>
      </c>
      <c r="H5"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5"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5"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H</v>
      </c>
      <c r="K5" s="23" t="str" cm="1">
        <f t="array" ref="K5">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L</v>
      </c>
      <c r="L5" t="str" cm="1">
        <f t="array" ref="L5">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M</v>
      </c>
      <c r="M5" t="str" cm="1">
        <f t="array" ref="M5">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5" t="str" cm="1">
        <f t="array" ref="N5">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L</v>
      </c>
      <c r="O5" t="str" cm="1">
        <f t="array" ref="O5">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5" t="str" cm="1">
        <f t="array" ref="P5">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5" s="19" t="str" cm="1">
        <f t="array" ref="Q5">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H</v>
      </c>
      <c r="R5" t="str" cm="1">
        <f t="array" ref="R5">_xlfn.XLOOKUP(1,(Exp_Combos[Elements at Risk]=Final_VEValues[[#This Row],[Elements at Risk]])*(Exp_Combos[EP - Coastal Inundation]=Final_VEValues[[#This Row],[EP - Coastal Inundation]]),Exp_Combos[E2050 - Coastal Inundation],"",0)</f>
        <v>M</v>
      </c>
      <c r="S5" t="str" cm="1">
        <f t="array" ref="S5">_xlfn.XLOOKUP(1,(Exp_Combos[Elements at Risk]=Final_VEValues[[#This Row],[Elements at Risk]])*(Exp_Combos[EP - Extreme Rainfall]=Final_VEValues[[#This Row],[EP - Extreme Rainfall]]),Exp_Combos[E2050 - Extreme Rainfall],"",0)</f>
        <v>H</v>
      </c>
      <c r="T5" t="str" cm="1">
        <f t="array" ref="T5">_xlfn.XLOOKUP(1,(Exp_Combos[Elements at Risk]=Final_VEValues[[#This Row],[Elements at Risk]])*(Exp_Combos[EP - Tropical Cyclone]=Final_VEValues[[#This Row],[EP - Tropical Cyclone]]),Exp_Combos[E2050 - Tropical Cyclone],"",0)</f>
        <v>E</v>
      </c>
      <c r="U5" t="str" cm="1">
        <f t="array" ref="U5">_xlfn.XLOOKUP(1,(Exp_Combos[Elements at Risk]=Final_VEValues[[#This Row],[Elements at Risk]])*(Exp_Combos[EP - Drought]=Final_VEValues[[#This Row],[EP - Drought]]),Exp_Combos[E2050 - Drought],"",0)</f>
        <v>M</v>
      </c>
      <c r="V5" t="str" cm="1">
        <f t="array" ref="V5">_xlfn.XLOOKUP(1,(Exp_Combos[Elements at Risk]=Final_VEValues[[#This Row],[Elements at Risk]])*(Exp_Combos[EP - Marine Heat Waves]=Final_VEValues[[#This Row],[EP - Marine Heat Waves]]),Exp_Combos[E2050 - Marine Heat Waves],"",0)</f>
        <v>N/A</v>
      </c>
      <c r="W5" t="str" cm="1">
        <f t="array" ref="W5">_xlfn.XLOOKUP(1,(Exp_Combos[Elements at Risk]=Final_VEValues[[#This Row],[Elements at Risk]])*(Exp_Combos[EP - Ocean Acidification]=Final_VEValues[[#This Row],[EP - Ocean Acidification]]),Exp_Combos[E2050 - Ocean Acidification],"",0)</f>
        <v>N/A</v>
      </c>
      <c r="X5" s="19" t="str" cm="1">
        <f t="array" ref="X5">_xlfn.XLOOKUP(1,(Exp_Combos[Elements at Risk]=Final_VEValues[[#This Row],[Elements at Risk]])*(Exp_Combos[EP - Extreme Temperature]=Final_VEValues[[#This Row],[EP - Extreme Temperature]]),Exp_Combos[E2050 - Extreme Temperature],"",0)</f>
        <v>E</v>
      </c>
      <c r="Y5" t="str" cm="1">
        <f t="array" ref="Y5">_xlfn.XLOOKUP(1,(Exp_Combos[Elements at Risk]=Final_VEValues[[#This Row],[Elements at Risk]])*(Exp_Combos[EP - Coastal Inundation]=Final_VEValues[[#This Row],[EP - Coastal Inundation]]),Exp_Combos[E2100 - Coastal Inundation],"",0)</f>
        <v>H</v>
      </c>
      <c r="Z5" t="str" cm="1">
        <f t="array" ref="Z5">_xlfn.XLOOKUP(1,(Exp_Combos[Elements at Risk]=Final_VEValues[[#This Row],[Elements at Risk]])*(Exp_Combos[EP - Extreme Rainfall]=Final_VEValues[[#This Row],[EP - Extreme Rainfall]]),Exp_Combos[E2100 - Extreme Rainfall],"",0)</f>
        <v>E</v>
      </c>
      <c r="AA5" t="str" cm="1">
        <f t="array" ref="AA5">_xlfn.XLOOKUP(1,(Exp_Combos[Elements at Risk]=Final_VEValues[[#This Row],[Elements at Risk]])*(Exp_Combos[EP - Tropical Cyclone]=Final_VEValues[[#This Row],[EP - Tropical Cyclone]]),Exp_Combos[E2100 - Tropical Cyclone],"",0)</f>
        <v>E</v>
      </c>
      <c r="AB5" t="str" cm="1">
        <f t="array" ref="AB5">_xlfn.XLOOKUP(1,(Exp_Combos[Elements at Risk]=Final_VEValues[[#This Row],[Elements at Risk]])*(Exp_Combos[EP - Drought]=Final_VEValues[[#This Row],[EP - Drought]]),Exp_Combos[E2100 - Drought],"",0)</f>
        <v>E</v>
      </c>
      <c r="AC5" t="str" cm="1">
        <f t="array" ref="AC5">_xlfn.XLOOKUP(1,(Exp_Combos[Elements at Risk]=Final_VEValues[[#This Row],[Elements at Risk]])*(Exp_Combos[EP - Marine Heat Waves]=Final_VEValues[[#This Row],[EP - Marine Heat Waves]]),Exp_Combos[E2100 - Marine Heat Waves],"",0)</f>
        <v>N/A</v>
      </c>
      <c r="AD5" t="str" cm="1">
        <f t="array" ref="AD5">_xlfn.XLOOKUP(1,(Exp_Combos[Elements at Risk]=Final_VEValues[[#This Row],[Elements at Risk]])*(Exp_Combos[EP - Ocean Acidification]=Final_VEValues[[#This Row],[EP - Ocean Acidification]]),Exp_Combos[E2100 - Ocean Acidification],"",0)</f>
        <v>N/A</v>
      </c>
      <c r="AE5" s="27" t="str" cm="1">
        <f t="array" ref="AE5">_xlfn.XLOOKUP(1,(Exp_Combos[Elements at Risk]=Final_VEValues[[#This Row],[Elements at Risk]])*(Exp_Combos[EP - Extreme Temperature]=Final_VEValues[[#This Row],[EP - Extreme Temperature]]),Exp_Combos[E2100 - Extreme Temperature],"",0)</f>
        <v>E</v>
      </c>
    </row>
    <row r="6" spans="1:31" ht="18" x14ac:dyDescent="0.35">
      <c r="A6" s="351">
        <v>3</v>
      </c>
      <c r="B6" s="96" t="s">
        <v>111</v>
      </c>
      <c r="C6" s="74" t="s">
        <v>119</v>
      </c>
      <c r="D6"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H</v>
      </c>
      <c r="E6"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E</v>
      </c>
      <c r="F6"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E</v>
      </c>
      <c r="G6"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H</v>
      </c>
      <c r="H6"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6"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6"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H</v>
      </c>
      <c r="K6" s="103" t="str" cm="1">
        <f t="array" ref="K6">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L</v>
      </c>
      <c r="L6" s="17" t="str" cm="1">
        <f t="array" ref="L6">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M</v>
      </c>
      <c r="M6" s="17" t="str" cm="1">
        <f t="array" ref="M6">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6" s="17" t="str" cm="1">
        <f t="array" ref="N6">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M</v>
      </c>
      <c r="O6" s="17" t="str" cm="1">
        <f t="array" ref="O6">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6" s="17" t="str" cm="1">
        <f t="array" ref="P6">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6" s="97" t="str" cm="1">
        <f t="array" ref="Q6">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H</v>
      </c>
      <c r="R6" s="17" t="str" cm="1">
        <f t="array" ref="R6">_xlfn.XLOOKUP(1,(Exp_Combos[Elements at Risk]=Final_VEValues[[#This Row],[Elements at Risk]])*(Exp_Combos[EP - Coastal Inundation]=Final_VEValues[[#This Row],[EP - Coastal Inundation]]),Exp_Combos[E2050 - Coastal Inundation],"",0)</f>
        <v>H</v>
      </c>
      <c r="S6" s="17" t="str" cm="1">
        <f t="array" ref="S6">_xlfn.XLOOKUP(1,(Exp_Combos[Elements at Risk]=Final_VEValues[[#This Row],[Elements at Risk]])*(Exp_Combos[EP - Extreme Rainfall]=Final_VEValues[[#This Row],[EP - Extreme Rainfall]]),Exp_Combos[E2050 - Extreme Rainfall],"",0)</f>
        <v>H</v>
      </c>
      <c r="T6" s="17" t="str" cm="1">
        <f t="array" ref="T6">_xlfn.XLOOKUP(1,(Exp_Combos[Elements at Risk]=Final_VEValues[[#This Row],[Elements at Risk]])*(Exp_Combos[EP - Tropical Cyclone]=Final_VEValues[[#This Row],[EP - Tropical Cyclone]]),Exp_Combos[E2050 - Tropical Cyclone],"",0)</f>
        <v>E</v>
      </c>
      <c r="U6" s="17" t="str" cm="1">
        <f t="array" ref="U6">_xlfn.XLOOKUP(1,(Exp_Combos[Elements at Risk]=Final_VEValues[[#This Row],[Elements at Risk]])*(Exp_Combos[EP - Drought]=Final_VEValues[[#This Row],[EP - Drought]]),Exp_Combos[E2050 - Drought],"",0)</f>
        <v>H</v>
      </c>
      <c r="V6" s="17" t="str" cm="1">
        <f t="array" ref="V6">_xlfn.XLOOKUP(1,(Exp_Combos[Elements at Risk]=Final_VEValues[[#This Row],[Elements at Risk]])*(Exp_Combos[EP - Marine Heat Waves]=Final_VEValues[[#This Row],[EP - Marine Heat Waves]]),Exp_Combos[E2050 - Marine Heat Waves],"",0)</f>
        <v>N/A</v>
      </c>
      <c r="W6" s="17" t="str" cm="1">
        <f t="array" ref="W6">_xlfn.XLOOKUP(1,(Exp_Combos[Elements at Risk]=Final_VEValues[[#This Row],[Elements at Risk]])*(Exp_Combos[EP - Ocean Acidification]=Final_VEValues[[#This Row],[EP - Ocean Acidification]]),Exp_Combos[E2050 - Ocean Acidification],"",0)</f>
        <v>N/A</v>
      </c>
      <c r="X6" s="97" t="str" cm="1">
        <f t="array" ref="X6">_xlfn.XLOOKUP(1,(Exp_Combos[Elements at Risk]=Final_VEValues[[#This Row],[Elements at Risk]])*(Exp_Combos[EP - Extreme Temperature]=Final_VEValues[[#This Row],[EP - Extreme Temperature]]),Exp_Combos[E2050 - Extreme Temperature],"",0)</f>
        <v>E</v>
      </c>
      <c r="Y6" s="17" t="str" cm="1">
        <f t="array" ref="Y6">_xlfn.XLOOKUP(1,(Exp_Combos[Elements at Risk]=Final_VEValues[[#This Row],[Elements at Risk]])*(Exp_Combos[EP - Coastal Inundation]=Final_VEValues[[#This Row],[EP - Coastal Inundation]]),Exp_Combos[E2100 - Coastal Inundation],"",0)</f>
        <v>H</v>
      </c>
      <c r="Z6" s="17" t="str" cm="1">
        <f t="array" ref="Z6">_xlfn.XLOOKUP(1,(Exp_Combos[Elements at Risk]=Final_VEValues[[#This Row],[Elements at Risk]])*(Exp_Combos[EP - Extreme Rainfall]=Final_VEValues[[#This Row],[EP - Extreme Rainfall]]),Exp_Combos[E2100 - Extreme Rainfall],"",0)</f>
        <v>H</v>
      </c>
      <c r="AA6" s="17" t="str" cm="1">
        <f t="array" ref="AA6">_xlfn.XLOOKUP(1,(Exp_Combos[Elements at Risk]=Final_VEValues[[#This Row],[Elements at Risk]])*(Exp_Combos[EP - Tropical Cyclone]=Final_VEValues[[#This Row],[EP - Tropical Cyclone]]),Exp_Combos[E2100 - Tropical Cyclone],"",0)</f>
        <v>E</v>
      </c>
      <c r="AB6" s="17" t="str" cm="1">
        <f t="array" ref="AB6">_xlfn.XLOOKUP(1,(Exp_Combos[Elements at Risk]=Final_VEValues[[#This Row],[Elements at Risk]])*(Exp_Combos[EP - Drought]=Final_VEValues[[#This Row],[EP - Drought]]),Exp_Combos[E2100 - Drought],"",0)</f>
        <v>E</v>
      </c>
      <c r="AC6" s="17" t="str" cm="1">
        <f t="array" ref="AC6">_xlfn.XLOOKUP(1,(Exp_Combos[Elements at Risk]=Final_VEValues[[#This Row],[Elements at Risk]])*(Exp_Combos[EP - Marine Heat Waves]=Final_VEValues[[#This Row],[EP - Marine Heat Waves]]),Exp_Combos[E2100 - Marine Heat Waves],"",0)</f>
        <v>N/A</v>
      </c>
      <c r="AD6" s="17" t="str" cm="1">
        <f t="array" ref="AD6">_xlfn.XLOOKUP(1,(Exp_Combos[Elements at Risk]=Final_VEValues[[#This Row],[Elements at Risk]])*(Exp_Combos[EP - Ocean Acidification]=Final_VEValues[[#This Row],[EP - Ocean Acidification]]),Exp_Combos[E2100 - Ocean Acidification],"",0)</f>
        <v>N/A</v>
      </c>
      <c r="AE6" s="341" t="str" cm="1">
        <f t="array" ref="AE6">_xlfn.XLOOKUP(1,(Exp_Combos[Elements at Risk]=Final_VEValues[[#This Row],[Elements at Risk]])*(Exp_Combos[EP - Extreme Temperature]=Final_VEValues[[#This Row],[EP - Extreme Temperature]]),Exp_Combos[E2100 - Extreme Temperature],"",0)</f>
        <v>E</v>
      </c>
    </row>
    <row r="7" spans="1:31" ht="18" x14ac:dyDescent="0.35">
      <c r="A7" s="350">
        <v>4</v>
      </c>
      <c r="B7" s="78" t="s">
        <v>120</v>
      </c>
      <c r="C7" s="73" t="s">
        <v>210</v>
      </c>
      <c r="D7" s="21"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H</v>
      </c>
      <c r="E7" s="50"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M</v>
      </c>
      <c r="F7" s="50"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7" s="50"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M</v>
      </c>
      <c r="H7" s="50"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7" s="50"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7" s="95"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M</v>
      </c>
      <c r="K7" s="21" t="str" cm="1">
        <f t="array" ref="K7">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M</v>
      </c>
      <c r="L7" s="50" t="str" cm="1">
        <f t="array" ref="L7">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M</v>
      </c>
      <c r="M7" s="50" t="str" cm="1">
        <f t="array" ref="M7">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7" s="50" t="str" cm="1">
        <f t="array" ref="N7">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M</v>
      </c>
      <c r="O7" s="50" t="str" cm="1">
        <f t="array" ref="O7">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7" s="50" t="str" cm="1">
        <f t="array" ref="P7">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7" s="95" t="str" cm="1">
        <f t="array" ref="Q7">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7" s="50" t="str" cm="1">
        <f t="array" ref="R7">_xlfn.XLOOKUP(1,(Exp_Combos[Elements at Risk]=Final_VEValues[[#This Row],[Elements at Risk]])*(Exp_Combos[EP - Coastal Inundation]=Final_VEValues[[#This Row],[EP - Coastal Inundation]]),Exp_Combos[E2050 - Coastal Inundation],"",0)</f>
        <v>H</v>
      </c>
      <c r="S7" s="50" t="str" cm="1">
        <f t="array" ref="S7">_xlfn.XLOOKUP(1,(Exp_Combos[Elements at Risk]=Final_VEValues[[#This Row],[Elements at Risk]])*(Exp_Combos[EP - Extreme Rainfall]=Final_VEValues[[#This Row],[EP - Extreme Rainfall]]),Exp_Combos[E2050 - Extreme Rainfall],"",0)</f>
        <v>M</v>
      </c>
      <c r="T7" s="50" t="str" cm="1">
        <f t="array" ref="T7">_xlfn.XLOOKUP(1,(Exp_Combos[Elements at Risk]=Final_VEValues[[#This Row],[Elements at Risk]])*(Exp_Combos[EP - Tropical Cyclone]=Final_VEValues[[#This Row],[EP - Tropical Cyclone]]),Exp_Combos[E2050 - Tropical Cyclone],"",0)</f>
        <v>E</v>
      </c>
      <c r="U7" s="50" t="str" cm="1">
        <f t="array" ref="U7">_xlfn.XLOOKUP(1,(Exp_Combos[Elements at Risk]=Final_VEValues[[#This Row],[Elements at Risk]])*(Exp_Combos[EP - Drought]=Final_VEValues[[#This Row],[EP - Drought]]),Exp_Combos[E2050 - Drought],"",0)</f>
        <v>H</v>
      </c>
      <c r="V7" s="50" t="str" cm="1">
        <f t="array" ref="V7">_xlfn.XLOOKUP(1,(Exp_Combos[Elements at Risk]=Final_VEValues[[#This Row],[Elements at Risk]])*(Exp_Combos[EP - Marine Heat Waves]=Final_VEValues[[#This Row],[EP - Marine Heat Waves]]),Exp_Combos[E2050 - Marine Heat Waves],"",0)</f>
        <v>N/A</v>
      </c>
      <c r="W7" s="50" t="str" cm="1">
        <f t="array" ref="W7">_xlfn.XLOOKUP(1,(Exp_Combos[Elements at Risk]=Final_VEValues[[#This Row],[Elements at Risk]])*(Exp_Combos[EP - Ocean Acidification]=Final_VEValues[[#This Row],[EP - Ocean Acidification]]),Exp_Combos[E2050 - Ocean Acidification],"",0)</f>
        <v>N/A</v>
      </c>
      <c r="X7" s="95" t="str" cm="1">
        <f t="array" ref="X7">_xlfn.XLOOKUP(1,(Exp_Combos[Elements at Risk]=Final_VEValues[[#This Row],[Elements at Risk]])*(Exp_Combos[EP - Extreme Temperature]=Final_VEValues[[#This Row],[EP - Extreme Temperature]]),Exp_Combos[E2050 - Extreme Temperature],"",0)</f>
        <v>H</v>
      </c>
      <c r="Y7" s="50" t="str" cm="1">
        <f t="array" ref="Y7">_xlfn.XLOOKUP(1,(Exp_Combos[Elements at Risk]=Final_VEValues[[#This Row],[Elements at Risk]])*(Exp_Combos[EP - Coastal Inundation]=Final_VEValues[[#This Row],[EP - Coastal Inundation]]),Exp_Combos[E2100 - Coastal Inundation],"",0)</f>
        <v>E</v>
      </c>
      <c r="Z7" s="50" t="str" cm="1">
        <f t="array" ref="Z7">_xlfn.XLOOKUP(1,(Exp_Combos[Elements at Risk]=Final_VEValues[[#This Row],[Elements at Risk]])*(Exp_Combos[EP - Extreme Rainfall]=Final_VEValues[[#This Row],[EP - Extreme Rainfall]]),Exp_Combos[E2100 - Extreme Rainfall],"",0)</f>
        <v>H</v>
      </c>
      <c r="AA7" s="50" t="str" cm="1">
        <f t="array" ref="AA7">_xlfn.XLOOKUP(1,(Exp_Combos[Elements at Risk]=Final_VEValues[[#This Row],[Elements at Risk]])*(Exp_Combos[EP - Tropical Cyclone]=Final_VEValues[[#This Row],[EP - Tropical Cyclone]]),Exp_Combos[E2100 - Tropical Cyclone],"",0)</f>
        <v>E</v>
      </c>
      <c r="AB7" s="50" t="str" cm="1">
        <f t="array" ref="AB7">_xlfn.XLOOKUP(1,(Exp_Combos[Elements at Risk]=Final_VEValues[[#This Row],[Elements at Risk]])*(Exp_Combos[EP - Drought]=Final_VEValues[[#This Row],[EP - Drought]]),Exp_Combos[E2100 - Drought],"",0)</f>
        <v>E</v>
      </c>
      <c r="AC7" s="50" t="str" cm="1">
        <f t="array" ref="AC7">_xlfn.XLOOKUP(1,(Exp_Combos[Elements at Risk]=Final_VEValues[[#This Row],[Elements at Risk]])*(Exp_Combos[EP - Marine Heat Waves]=Final_VEValues[[#This Row],[EP - Marine Heat Waves]]),Exp_Combos[E2100 - Marine Heat Waves],"",0)</f>
        <v>N/A</v>
      </c>
      <c r="AD7" s="50" t="str" cm="1">
        <f t="array" ref="AD7">_xlfn.XLOOKUP(1,(Exp_Combos[Elements at Risk]=Final_VEValues[[#This Row],[Elements at Risk]])*(Exp_Combos[EP - Ocean Acidification]=Final_VEValues[[#This Row],[EP - Ocean Acidification]]),Exp_Combos[E2100 - Ocean Acidification],"",0)</f>
        <v>N/A</v>
      </c>
      <c r="AE7" s="342" t="str" cm="1">
        <f t="array" ref="AE7">_xlfn.XLOOKUP(1,(Exp_Combos[Elements at Risk]=Final_VEValues[[#This Row],[Elements at Risk]])*(Exp_Combos[EP - Extreme Temperature]=Final_VEValues[[#This Row],[EP - Extreme Temperature]]),Exp_Combos[E2100 - Extreme Temperature],"",0)</f>
        <v>E</v>
      </c>
    </row>
    <row r="8" spans="1:31" ht="18" x14ac:dyDescent="0.35">
      <c r="A8" s="351">
        <v>5</v>
      </c>
      <c r="B8" s="79" t="s">
        <v>120</v>
      </c>
      <c r="C8" s="93" t="s">
        <v>218</v>
      </c>
      <c r="D8"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H</v>
      </c>
      <c r="E8"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M</v>
      </c>
      <c r="F8"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8"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M</v>
      </c>
      <c r="H8"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8"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L</v>
      </c>
      <c r="J8"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L</v>
      </c>
      <c r="K8" s="23" t="str" cm="1">
        <f t="array" ref="K8">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M</v>
      </c>
      <c r="L8" t="str" cm="1">
        <f t="array" ref="L8">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M</v>
      </c>
      <c r="M8" t="str" cm="1">
        <f t="array" ref="M8">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8" t="str" cm="1">
        <f t="array" ref="N8">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L</v>
      </c>
      <c r="O8" t="str" cm="1">
        <f t="array" ref="O8">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8" t="str" cm="1">
        <f t="array" ref="P8">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M</v>
      </c>
      <c r="Q8" s="19" t="str" cm="1">
        <f t="array" ref="Q8">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8" t="str" cm="1">
        <f t="array" ref="R8">_xlfn.XLOOKUP(1,(Exp_Combos[Elements at Risk]=Final_VEValues[[#This Row],[Elements at Risk]])*(Exp_Combos[EP - Coastal Inundation]=Final_VEValues[[#This Row],[EP - Coastal Inundation]]),Exp_Combos[E2050 - Coastal Inundation],"",0)</f>
        <v>H</v>
      </c>
      <c r="S8" t="str" cm="1">
        <f t="array" ref="S8">_xlfn.XLOOKUP(1,(Exp_Combos[Elements at Risk]=Final_VEValues[[#This Row],[Elements at Risk]])*(Exp_Combos[EP - Extreme Rainfall]=Final_VEValues[[#This Row],[EP - Extreme Rainfall]]),Exp_Combos[E2050 - Extreme Rainfall],"",0)</f>
        <v>M</v>
      </c>
      <c r="T8" t="str" cm="1">
        <f t="array" ref="T8">_xlfn.XLOOKUP(1,(Exp_Combos[Elements at Risk]=Final_VEValues[[#This Row],[Elements at Risk]])*(Exp_Combos[EP - Tropical Cyclone]=Final_VEValues[[#This Row],[EP - Tropical Cyclone]]),Exp_Combos[E2050 - Tropical Cyclone],"",0)</f>
        <v>E</v>
      </c>
      <c r="U8" t="str" cm="1">
        <f t="array" ref="U8">_xlfn.XLOOKUP(1,(Exp_Combos[Elements at Risk]=Final_VEValues[[#This Row],[Elements at Risk]])*(Exp_Combos[EP - Drought]=Final_VEValues[[#This Row],[EP - Drought]]),Exp_Combos[E2050 - Drought],"",0)</f>
        <v>M</v>
      </c>
      <c r="V8" t="str" cm="1">
        <f t="array" ref="V8">_xlfn.XLOOKUP(1,(Exp_Combos[Elements at Risk]=Final_VEValues[[#This Row],[Elements at Risk]])*(Exp_Combos[EP - Marine Heat Waves]=Final_VEValues[[#This Row],[EP - Marine Heat Waves]]),Exp_Combos[E2050 - Marine Heat Waves],"",0)</f>
        <v>N/A</v>
      </c>
      <c r="W8" t="str" cm="1">
        <f t="array" ref="W8">_xlfn.XLOOKUP(1,(Exp_Combos[Elements at Risk]=Final_VEValues[[#This Row],[Elements at Risk]])*(Exp_Combos[EP - Ocean Acidification]=Final_VEValues[[#This Row],[EP - Ocean Acidification]]),Exp_Combos[E2050 - Ocean Acidification],"",0)</f>
        <v>H</v>
      </c>
      <c r="X8" s="19" t="str" cm="1">
        <f t="array" ref="X8">_xlfn.XLOOKUP(1,(Exp_Combos[Elements at Risk]=Final_VEValues[[#This Row],[Elements at Risk]])*(Exp_Combos[EP - Extreme Temperature]=Final_VEValues[[#This Row],[EP - Extreme Temperature]]),Exp_Combos[E2050 - Extreme Temperature],"",0)</f>
        <v>H</v>
      </c>
      <c r="Y8" t="str" cm="1">
        <f t="array" ref="Y8">_xlfn.XLOOKUP(1,(Exp_Combos[Elements at Risk]=Final_VEValues[[#This Row],[Elements at Risk]])*(Exp_Combos[EP - Coastal Inundation]=Final_VEValues[[#This Row],[EP - Coastal Inundation]]),Exp_Combos[E2100 - Coastal Inundation],"",0)</f>
        <v>E</v>
      </c>
      <c r="Z8" t="str" cm="1">
        <f t="array" ref="Z8">_xlfn.XLOOKUP(1,(Exp_Combos[Elements at Risk]=Final_VEValues[[#This Row],[Elements at Risk]])*(Exp_Combos[EP - Extreme Rainfall]=Final_VEValues[[#This Row],[EP - Extreme Rainfall]]),Exp_Combos[E2100 - Extreme Rainfall],"",0)</f>
        <v>H</v>
      </c>
      <c r="AA8" t="str" cm="1">
        <f t="array" ref="AA8">_xlfn.XLOOKUP(1,(Exp_Combos[Elements at Risk]=Final_VEValues[[#This Row],[Elements at Risk]])*(Exp_Combos[EP - Tropical Cyclone]=Final_VEValues[[#This Row],[EP - Tropical Cyclone]]),Exp_Combos[E2100 - Tropical Cyclone],"",0)</f>
        <v>E</v>
      </c>
      <c r="AB8" t="str" cm="1">
        <f t="array" ref="AB8">_xlfn.XLOOKUP(1,(Exp_Combos[Elements at Risk]=Final_VEValues[[#This Row],[Elements at Risk]])*(Exp_Combos[EP - Drought]=Final_VEValues[[#This Row],[EP - Drought]]),Exp_Combos[E2100 - Drought],"",0)</f>
        <v>M</v>
      </c>
      <c r="AC8" t="str" cm="1">
        <f t="array" ref="AC8">_xlfn.XLOOKUP(1,(Exp_Combos[Elements at Risk]=Final_VEValues[[#This Row],[Elements at Risk]])*(Exp_Combos[EP - Marine Heat Waves]=Final_VEValues[[#This Row],[EP - Marine Heat Waves]]),Exp_Combos[E2100 - Marine Heat Waves],"",0)</f>
        <v>N/A</v>
      </c>
      <c r="AD8" t="str" cm="1">
        <f t="array" ref="AD8">_xlfn.XLOOKUP(1,(Exp_Combos[Elements at Risk]=Final_VEValues[[#This Row],[Elements at Risk]])*(Exp_Combos[EP - Ocean Acidification]=Final_VEValues[[#This Row],[EP - Ocean Acidification]]),Exp_Combos[E2100 - Ocean Acidification],"",0)</f>
        <v>H</v>
      </c>
      <c r="AE8" s="27" t="str" cm="1">
        <f t="array" ref="AE8">_xlfn.XLOOKUP(1,(Exp_Combos[Elements at Risk]=Final_VEValues[[#This Row],[Elements at Risk]])*(Exp_Combos[EP - Extreme Temperature]=Final_VEValues[[#This Row],[EP - Extreme Temperature]]),Exp_Combos[E2100 - Extreme Temperature],"",0)</f>
        <v>H</v>
      </c>
    </row>
    <row r="9" spans="1:31" ht="18" x14ac:dyDescent="0.35">
      <c r="A9" s="350">
        <v>6</v>
      </c>
      <c r="B9" s="79" t="s">
        <v>120</v>
      </c>
      <c r="C9" s="93" t="s">
        <v>220</v>
      </c>
      <c r="D9"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H</v>
      </c>
      <c r="E9"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H</v>
      </c>
      <c r="F9"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9"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M</v>
      </c>
      <c r="H9"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9"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9"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L</v>
      </c>
      <c r="K9" s="23" t="str" cm="1">
        <f t="array" ref="K9">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M</v>
      </c>
      <c r="L9" t="str" cm="1">
        <f t="array" ref="L9">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M</v>
      </c>
      <c r="M9" t="str" cm="1">
        <f t="array" ref="M9">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9" t="str" cm="1">
        <f t="array" ref="N9">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M</v>
      </c>
      <c r="O9" t="str" cm="1">
        <f t="array" ref="O9">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9" t="str" cm="1">
        <f t="array" ref="P9">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9" s="19" t="str" cm="1">
        <f t="array" ref="Q9">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9" t="str" cm="1">
        <f t="array" ref="R9">_xlfn.XLOOKUP(1,(Exp_Combos[Elements at Risk]=Final_VEValues[[#This Row],[Elements at Risk]])*(Exp_Combos[EP - Coastal Inundation]=Final_VEValues[[#This Row],[EP - Coastal Inundation]]),Exp_Combos[E2050 - Coastal Inundation],"",0)</f>
        <v>H</v>
      </c>
      <c r="S9" t="str" cm="1">
        <f t="array" ref="S9">_xlfn.XLOOKUP(1,(Exp_Combos[Elements at Risk]=Final_VEValues[[#This Row],[Elements at Risk]])*(Exp_Combos[EP - Extreme Rainfall]=Final_VEValues[[#This Row],[EP - Extreme Rainfall]]),Exp_Combos[E2050 - Extreme Rainfall],"",0)</f>
        <v>M</v>
      </c>
      <c r="T9" t="str" cm="1">
        <f t="array" ref="T9">_xlfn.XLOOKUP(1,(Exp_Combos[Elements at Risk]=Final_VEValues[[#This Row],[Elements at Risk]])*(Exp_Combos[EP - Tropical Cyclone]=Final_VEValues[[#This Row],[EP - Tropical Cyclone]]),Exp_Combos[E2050 - Tropical Cyclone],"",0)</f>
        <v>E</v>
      </c>
      <c r="U9" t="str" cm="1">
        <f t="array" ref="U9">_xlfn.XLOOKUP(1,(Exp_Combos[Elements at Risk]=Final_VEValues[[#This Row],[Elements at Risk]])*(Exp_Combos[EP - Drought]=Final_VEValues[[#This Row],[EP - Drought]]),Exp_Combos[E2050 - Drought],"",0)</f>
        <v>H</v>
      </c>
      <c r="V9" t="str" cm="1">
        <f t="array" ref="V9">_xlfn.XLOOKUP(1,(Exp_Combos[Elements at Risk]=Final_VEValues[[#This Row],[Elements at Risk]])*(Exp_Combos[EP - Marine Heat Waves]=Final_VEValues[[#This Row],[EP - Marine Heat Waves]]),Exp_Combos[E2050 - Marine Heat Waves],"",0)</f>
        <v>N/A</v>
      </c>
      <c r="W9" t="str" cm="1">
        <f t="array" ref="W9">_xlfn.XLOOKUP(1,(Exp_Combos[Elements at Risk]=Final_VEValues[[#This Row],[Elements at Risk]])*(Exp_Combos[EP - Ocean Acidification]=Final_VEValues[[#This Row],[EP - Ocean Acidification]]),Exp_Combos[E2050 - Ocean Acidification],"",0)</f>
        <v>N/A</v>
      </c>
      <c r="X9" s="19" t="str" cm="1">
        <f t="array" ref="X9">_xlfn.XLOOKUP(1,(Exp_Combos[Elements at Risk]=Final_VEValues[[#This Row],[Elements at Risk]])*(Exp_Combos[EP - Extreme Temperature]=Final_VEValues[[#This Row],[EP - Extreme Temperature]]),Exp_Combos[E2050 - Extreme Temperature],"",0)</f>
        <v>H</v>
      </c>
      <c r="Y9" t="str" cm="1">
        <f t="array" ref="Y9">_xlfn.XLOOKUP(1,(Exp_Combos[Elements at Risk]=Final_VEValues[[#This Row],[Elements at Risk]])*(Exp_Combos[EP - Coastal Inundation]=Final_VEValues[[#This Row],[EP - Coastal Inundation]]),Exp_Combos[E2100 - Coastal Inundation],"",0)</f>
        <v>E</v>
      </c>
      <c r="Z9" t="str" cm="1">
        <f t="array" ref="Z9">_xlfn.XLOOKUP(1,(Exp_Combos[Elements at Risk]=Final_VEValues[[#This Row],[Elements at Risk]])*(Exp_Combos[EP - Extreme Rainfall]=Final_VEValues[[#This Row],[EP - Extreme Rainfall]]),Exp_Combos[E2100 - Extreme Rainfall],"",0)</f>
        <v>H</v>
      </c>
      <c r="AA9" t="str" cm="1">
        <f t="array" ref="AA9">_xlfn.XLOOKUP(1,(Exp_Combos[Elements at Risk]=Final_VEValues[[#This Row],[Elements at Risk]])*(Exp_Combos[EP - Tropical Cyclone]=Final_VEValues[[#This Row],[EP - Tropical Cyclone]]),Exp_Combos[E2100 - Tropical Cyclone],"",0)</f>
        <v>E</v>
      </c>
      <c r="AB9" t="str" cm="1">
        <f t="array" ref="AB9">_xlfn.XLOOKUP(1,(Exp_Combos[Elements at Risk]=Final_VEValues[[#This Row],[Elements at Risk]])*(Exp_Combos[EP - Drought]=Final_VEValues[[#This Row],[EP - Drought]]),Exp_Combos[E2100 - Drought],"",0)</f>
        <v>E</v>
      </c>
      <c r="AC9" t="str" cm="1">
        <f t="array" ref="AC9">_xlfn.XLOOKUP(1,(Exp_Combos[Elements at Risk]=Final_VEValues[[#This Row],[Elements at Risk]])*(Exp_Combos[EP - Marine Heat Waves]=Final_VEValues[[#This Row],[EP - Marine Heat Waves]]),Exp_Combos[E2100 - Marine Heat Waves],"",0)</f>
        <v>N/A</v>
      </c>
      <c r="AD9" t="str" cm="1">
        <f t="array" ref="AD9">_xlfn.XLOOKUP(1,(Exp_Combos[Elements at Risk]=Final_VEValues[[#This Row],[Elements at Risk]])*(Exp_Combos[EP - Ocean Acidification]=Final_VEValues[[#This Row],[EP - Ocean Acidification]]),Exp_Combos[E2100 - Ocean Acidification],"",0)</f>
        <v>N/A</v>
      </c>
      <c r="AE9" s="27" t="str" cm="1">
        <f t="array" ref="AE9">_xlfn.XLOOKUP(1,(Exp_Combos[Elements at Risk]=Final_VEValues[[#This Row],[Elements at Risk]])*(Exp_Combos[EP - Extreme Temperature]=Final_VEValues[[#This Row],[EP - Extreme Temperature]]),Exp_Combos[E2100 - Extreme Temperature],"",0)</f>
        <v>H</v>
      </c>
    </row>
    <row r="10" spans="1:31" ht="18" x14ac:dyDescent="0.35">
      <c r="A10" s="351">
        <v>7</v>
      </c>
      <c r="B10" s="79" t="s">
        <v>120</v>
      </c>
      <c r="C10" s="93" t="s">
        <v>67</v>
      </c>
      <c r="D10"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M</v>
      </c>
      <c r="E10"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M</v>
      </c>
      <c r="F10"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10"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L</v>
      </c>
      <c r="H10"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10"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10"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L</v>
      </c>
      <c r="K10" s="23" t="str" cm="1">
        <f t="array" ref="K10">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L</v>
      </c>
      <c r="L10" t="str" cm="1">
        <f t="array" ref="L10">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M</v>
      </c>
      <c r="M10" t="str" cm="1">
        <f t="array" ref="M10">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10" t="str" cm="1">
        <f t="array" ref="N10">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L</v>
      </c>
      <c r="O10" t="str" cm="1">
        <f t="array" ref="O10">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10" t="str" cm="1">
        <f t="array" ref="P10">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10" s="19" t="str" cm="1">
        <f t="array" ref="Q10">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L</v>
      </c>
      <c r="R10" t="str" cm="1">
        <f t="array" ref="R10">_xlfn.XLOOKUP(1,(Exp_Combos[Elements at Risk]=Final_VEValues[[#This Row],[Elements at Risk]])*(Exp_Combos[EP - Coastal Inundation]=Final_VEValues[[#This Row],[EP - Coastal Inundation]]),Exp_Combos[E2050 - Coastal Inundation],"",0)</f>
        <v>L</v>
      </c>
      <c r="S10" t="str" cm="1">
        <f t="array" ref="S10">_xlfn.XLOOKUP(1,(Exp_Combos[Elements at Risk]=Final_VEValues[[#This Row],[Elements at Risk]])*(Exp_Combos[EP - Extreme Rainfall]=Final_VEValues[[#This Row],[EP - Extreme Rainfall]]),Exp_Combos[E2050 - Extreme Rainfall],"",0)</f>
        <v>M</v>
      </c>
      <c r="T10" t="str" cm="1">
        <f t="array" ref="T10">_xlfn.XLOOKUP(1,(Exp_Combos[Elements at Risk]=Final_VEValues[[#This Row],[Elements at Risk]])*(Exp_Combos[EP - Tropical Cyclone]=Final_VEValues[[#This Row],[EP - Tropical Cyclone]]),Exp_Combos[E2050 - Tropical Cyclone],"",0)</f>
        <v>E</v>
      </c>
      <c r="U10" t="str" cm="1">
        <f t="array" ref="U10">_xlfn.XLOOKUP(1,(Exp_Combos[Elements at Risk]=Final_VEValues[[#This Row],[Elements at Risk]])*(Exp_Combos[EP - Drought]=Final_VEValues[[#This Row],[EP - Drought]]),Exp_Combos[E2050 - Drought],"",0)</f>
        <v>M</v>
      </c>
      <c r="V10" t="str" cm="1">
        <f t="array" ref="V10">_xlfn.XLOOKUP(1,(Exp_Combos[Elements at Risk]=Final_VEValues[[#This Row],[Elements at Risk]])*(Exp_Combos[EP - Marine Heat Waves]=Final_VEValues[[#This Row],[EP - Marine Heat Waves]]),Exp_Combos[E2050 - Marine Heat Waves],"",0)</f>
        <v>N/A</v>
      </c>
      <c r="W10" t="str" cm="1">
        <f t="array" ref="W10">_xlfn.XLOOKUP(1,(Exp_Combos[Elements at Risk]=Final_VEValues[[#This Row],[Elements at Risk]])*(Exp_Combos[EP - Ocean Acidification]=Final_VEValues[[#This Row],[EP - Ocean Acidification]]),Exp_Combos[E2050 - Ocean Acidification],"",0)</f>
        <v>N/A</v>
      </c>
      <c r="X10" s="19" t="str" cm="1">
        <f t="array" ref="X10">_xlfn.XLOOKUP(1,(Exp_Combos[Elements at Risk]=Final_VEValues[[#This Row],[Elements at Risk]])*(Exp_Combos[EP - Extreme Temperature]=Final_VEValues[[#This Row],[EP - Extreme Temperature]]),Exp_Combos[E2050 - Extreme Temperature],"",0)</f>
        <v>L</v>
      </c>
      <c r="Y10" t="str" cm="1">
        <f t="array" ref="Y10">_xlfn.XLOOKUP(1,(Exp_Combos[Elements at Risk]=Final_VEValues[[#This Row],[Elements at Risk]])*(Exp_Combos[EP - Coastal Inundation]=Final_VEValues[[#This Row],[EP - Coastal Inundation]]),Exp_Combos[E2100 - Coastal Inundation],"",0)</f>
        <v>M</v>
      </c>
      <c r="Z10" t="str" cm="1">
        <f t="array" ref="Z10">_xlfn.XLOOKUP(1,(Exp_Combos[Elements at Risk]=Final_VEValues[[#This Row],[Elements at Risk]])*(Exp_Combos[EP - Extreme Rainfall]=Final_VEValues[[#This Row],[EP - Extreme Rainfall]]),Exp_Combos[E2100 - Extreme Rainfall],"",0)</f>
        <v>H</v>
      </c>
      <c r="AA10" t="str" cm="1">
        <f t="array" ref="AA10">_xlfn.XLOOKUP(1,(Exp_Combos[Elements at Risk]=Final_VEValues[[#This Row],[Elements at Risk]])*(Exp_Combos[EP - Tropical Cyclone]=Final_VEValues[[#This Row],[EP - Tropical Cyclone]]),Exp_Combos[E2100 - Tropical Cyclone],"",0)</f>
        <v>E</v>
      </c>
      <c r="AB10" t="str" cm="1">
        <f t="array" ref="AB10">_xlfn.XLOOKUP(1,(Exp_Combos[Elements at Risk]=Final_VEValues[[#This Row],[Elements at Risk]])*(Exp_Combos[EP - Drought]=Final_VEValues[[#This Row],[EP - Drought]]),Exp_Combos[E2100 - Drought],"",0)</f>
        <v>M</v>
      </c>
      <c r="AC10" t="str" cm="1">
        <f t="array" ref="AC10">_xlfn.XLOOKUP(1,(Exp_Combos[Elements at Risk]=Final_VEValues[[#This Row],[Elements at Risk]])*(Exp_Combos[EP - Marine Heat Waves]=Final_VEValues[[#This Row],[EP - Marine Heat Waves]]),Exp_Combos[E2100 - Marine Heat Waves],"",0)</f>
        <v>N/A</v>
      </c>
      <c r="AD10" t="str" cm="1">
        <f t="array" ref="AD10">_xlfn.XLOOKUP(1,(Exp_Combos[Elements at Risk]=Final_VEValues[[#This Row],[Elements at Risk]])*(Exp_Combos[EP - Ocean Acidification]=Final_VEValues[[#This Row],[EP - Ocean Acidification]]),Exp_Combos[E2100 - Ocean Acidification],"",0)</f>
        <v>N/A</v>
      </c>
      <c r="AE10" s="27" t="str" cm="1">
        <f t="array" ref="AE10">_xlfn.XLOOKUP(1,(Exp_Combos[Elements at Risk]=Final_VEValues[[#This Row],[Elements at Risk]])*(Exp_Combos[EP - Extreme Temperature]=Final_VEValues[[#This Row],[EP - Extreme Temperature]]),Exp_Combos[E2100 - Extreme Temperature],"",0)</f>
        <v>H</v>
      </c>
    </row>
    <row r="11" spans="1:31" ht="18" x14ac:dyDescent="0.35">
      <c r="A11" s="350">
        <v>8</v>
      </c>
      <c r="B11" s="79" t="s">
        <v>120</v>
      </c>
      <c r="C11" s="93" t="s">
        <v>121</v>
      </c>
      <c r="D11"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M</v>
      </c>
      <c r="E11"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M</v>
      </c>
      <c r="F11"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11"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L</v>
      </c>
      <c r="H11"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11"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11"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L</v>
      </c>
      <c r="K11" s="23" t="str" cm="1">
        <f t="array" ref="K11">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L</v>
      </c>
      <c r="L11" t="str" cm="1">
        <f t="array" ref="L11">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M</v>
      </c>
      <c r="M11" t="str" cm="1">
        <f t="array" ref="M11">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11" t="str" cm="1">
        <f t="array" ref="N11">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L</v>
      </c>
      <c r="O11" t="str" cm="1">
        <f t="array" ref="O11">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11" t="str" cm="1">
        <f t="array" ref="P11">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11" s="19" t="str" cm="1">
        <f t="array" ref="Q11">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11" t="str" cm="1">
        <f t="array" ref="R11">_xlfn.XLOOKUP(1,(Exp_Combos[Elements at Risk]=Final_VEValues[[#This Row],[Elements at Risk]])*(Exp_Combos[EP - Coastal Inundation]=Final_VEValues[[#This Row],[EP - Coastal Inundation]]),Exp_Combos[E2050 - Coastal Inundation],"",0)</f>
        <v>L</v>
      </c>
      <c r="S11" t="str" cm="1">
        <f t="array" ref="S11">_xlfn.XLOOKUP(1,(Exp_Combos[Elements at Risk]=Final_VEValues[[#This Row],[Elements at Risk]])*(Exp_Combos[EP - Extreme Rainfall]=Final_VEValues[[#This Row],[EP - Extreme Rainfall]]),Exp_Combos[E2050 - Extreme Rainfall],"",0)</f>
        <v>M</v>
      </c>
      <c r="T11" t="str" cm="1">
        <f t="array" ref="T11">_xlfn.XLOOKUP(1,(Exp_Combos[Elements at Risk]=Final_VEValues[[#This Row],[Elements at Risk]])*(Exp_Combos[EP - Tropical Cyclone]=Final_VEValues[[#This Row],[EP - Tropical Cyclone]]),Exp_Combos[E2050 - Tropical Cyclone],"",0)</f>
        <v>E</v>
      </c>
      <c r="U11" t="str" cm="1">
        <f t="array" ref="U11">_xlfn.XLOOKUP(1,(Exp_Combos[Elements at Risk]=Final_VEValues[[#This Row],[Elements at Risk]])*(Exp_Combos[EP - Drought]=Final_VEValues[[#This Row],[EP - Drought]]),Exp_Combos[E2050 - Drought],"",0)</f>
        <v>M</v>
      </c>
      <c r="V11" t="str" cm="1">
        <f t="array" ref="V11">_xlfn.XLOOKUP(1,(Exp_Combos[Elements at Risk]=Final_VEValues[[#This Row],[Elements at Risk]])*(Exp_Combos[EP - Marine Heat Waves]=Final_VEValues[[#This Row],[EP - Marine Heat Waves]]),Exp_Combos[E2050 - Marine Heat Waves],"",0)</f>
        <v>N/A</v>
      </c>
      <c r="W11" t="str" cm="1">
        <f t="array" ref="W11">_xlfn.XLOOKUP(1,(Exp_Combos[Elements at Risk]=Final_VEValues[[#This Row],[Elements at Risk]])*(Exp_Combos[EP - Ocean Acidification]=Final_VEValues[[#This Row],[EP - Ocean Acidification]]),Exp_Combos[E2050 - Ocean Acidification],"",0)</f>
        <v>N/A</v>
      </c>
      <c r="X11" s="19" t="str" cm="1">
        <f t="array" ref="X11">_xlfn.XLOOKUP(1,(Exp_Combos[Elements at Risk]=Final_VEValues[[#This Row],[Elements at Risk]])*(Exp_Combos[EP - Extreme Temperature]=Final_VEValues[[#This Row],[EP - Extreme Temperature]]),Exp_Combos[E2050 - Extreme Temperature],"",0)</f>
        <v>H</v>
      </c>
      <c r="Y11" t="str" cm="1">
        <f t="array" ref="Y11">_xlfn.XLOOKUP(1,(Exp_Combos[Elements at Risk]=Final_VEValues[[#This Row],[Elements at Risk]])*(Exp_Combos[EP - Coastal Inundation]=Final_VEValues[[#This Row],[EP - Coastal Inundation]]),Exp_Combos[E2100 - Coastal Inundation],"",0)</f>
        <v>H</v>
      </c>
      <c r="Z11" t="str" cm="1">
        <f t="array" ref="Z11">_xlfn.XLOOKUP(1,(Exp_Combos[Elements at Risk]=Final_VEValues[[#This Row],[Elements at Risk]])*(Exp_Combos[EP - Extreme Rainfall]=Final_VEValues[[#This Row],[EP - Extreme Rainfall]]),Exp_Combos[E2100 - Extreme Rainfall],"",0)</f>
        <v>H</v>
      </c>
      <c r="AA11" t="str" cm="1">
        <f t="array" ref="AA11">_xlfn.XLOOKUP(1,(Exp_Combos[Elements at Risk]=Final_VEValues[[#This Row],[Elements at Risk]])*(Exp_Combos[EP - Tropical Cyclone]=Final_VEValues[[#This Row],[EP - Tropical Cyclone]]),Exp_Combos[E2100 - Tropical Cyclone],"",0)</f>
        <v>E</v>
      </c>
      <c r="AB11" t="str" cm="1">
        <f t="array" ref="AB11">_xlfn.XLOOKUP(1,(Exp_Combos[Elements at Risk]=Final_VEValues[[#This Row],[Elements at Risk]])*(Exp_Combos[EP - Drought]=Final_VEValues[[#This Row],[EP - Drought]]),Exp_Combos[E2100 - Drought],"",0)</f>
        <v>M</v>
      </c>
      <c r="AC11" t="str" cm="1">
        <f t="array" ref="AC11">_xlfn.XLOOKUP(1,(Exp_Combos[Elements at Risk]=Final_VEValues[[#This Row],[Elements at Risk]])*(Exp_Combos[EP - Marine Heat Waves]=Final_VEValues[[#This Row],[EP - Marine Heat Waves]]),Exp_Combos[E2100 - Marine Heat Waves],"",0)</f>
        <v>N/A</v>
      </c>
      <c r="AD11" t="str" cm="1">
        <f t="array" ref="AD11">_xlfn.XLOOKUP(1,(Exp_Combos[Elements at Risk]=Final_VEValues[[#This Row],[Elements at Risk]])*(Exp_Combos[EP - Ocean Acidification]=Final_VEValues[[#This Row],[EP - Ocean Acidification]]),Exp_Combos[E2100 - Ocean Acidification],"",0)</f>
        <v>N/A</v>
      </c>
      <c r="AE11" s="27" t="str" cm="1">
        <f t="array" ref="AE11">_xlfn.XLOOKUP(1,(Exp_Combos[Elements at Risk]=Final_VEValues[[#This Row],[Elements at Risk]])*(Exp_Combos[EP - Extreme Temperature]=Final_VEValues[[#This Row],[EP - Extreme Temperature]]),Exp_Combos[E2100 - Extreme Temperature],"",0)</f>
        <v>H</v>
      </c>
    </row>
    <row r="12" spans="1:31" ht="18" x14ac:dyDescent="0.35">
      <c r="A12" s="351">
        <v>9</v>
      </c>
      <c r="B12" s="79" t="s">
        <v>120</v>
      </c>
      <c r="C12" s="93" t="s">
        <v>70</v>
      </c>
      <c r="D12"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H</v>
      </c>
      <c r="E12"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H</v>
      </c>
      <c r="F12"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12"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M</v>
      </c>
      <c r="H12"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12"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12"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L</v>
      </c>
      <c r="K12" s="23" t="str" cm="1">
        <f t="array" ref="K12">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L</v>
      </c>
      <c r="L12" t="str" cm="1">
        <f t="array" ref="L12">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M</v>
      </c>
      <c r="M12" t="str" cm="1">
        <f t="array" ref="M12">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12" t="str" cm="1">
        <f t="array" ref="N12">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L</v>
      </c>
      <c r="O12" t="str" cm="1">
        <f t="array" ref="O12">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12" t="str" cm="1">
        <f t="array" ref="P12">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12" s="19" t="str" cm="1">
        <f t="array" ref="Q12">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12" t="str" cm="1">
        <f t="array" ref="R12">_xlfn.XLOOKUP(1,(Exp_Combos[Elements at Risk]=Final_VEValues[[#This Row],[Elements at Risk]])*(Exp_Combos[EP - Coastal Inundation]=Final_VEValues[[#This Row],[EP - Coastal Inundation]]),Exp_Combos[E2050 - Coastal Inundation],"",0)</f>
        <v>M</v>
      </c>
      <c r="S12" t="str" cm="1">
        <f t="array" ref="S12">_xlfn.XLOOKUP(1,(Exp_Combos[Elements at Risk]=Final_VEValues[[#This Row],[Elements at Risk]])*(Exp_Combos[EP - Extreme Rainfall]=Final_VEValues[[#This Row],[EP - Extreme Rainfall]]),Exp_Combos[E2050 - Extreme Rainfall],"",0)</f>
        <v>M</v>
      </c>
      <c r="T12" t="str" cm="1">
        <f t="array" ref="T12">_xlfn.XLOOKUP(1,(Exp_Combos[Elements at Risk]=Final_VEValues[[#This Row],[Elements at Risk]])*(Exp_Combos[EP - Tropical Cyclone]=Final_VEValues[[#This Row],[EP - Tropical Cyclone]]),Exp_Combos[E2050 - Tropical Cyclone],"",0)</f>
        <v>E</v>
      </c>
      <c r="U12" t="str" cm="1">
        <f t="array" ref="U12">_xlfn.XLOOKUP(1,(Exp_Combos[Elements at Risk]=Final_VEValues[[#This Row],[Elements at Risk]])*(Exp_Combos[EP - Drought]=Final_VEValues[[#This Row],[EP - Drought]]),Exp_Combos[E2050 - Drought],"",0)</f>
        <v>M</v>
      </c>
      <c r="V12" t="str" cm="1">
        <f t="array" ref="V12">_xlfn.XLOOKUP(1,(Exp_Combos[Elements at Risk]=Final_VEValues[[#This Row],[Elements at Risk]])*(Exp_Combos[EP - Marine Heat Waves]=Final_VEValues[[#This Row],[EP - Marine Heat Waves]]),Exp_Combos[E2050 - Marine Heat Waves],"",0)</f>
        <v>N/A</v>
      </c>
      <c r="W12" t="str" cm="1">
        <f t="array" ref="W12">_xlfn.XLOOKUP(1,(Exp_Combos[Elements at Risk]=Final_VEValues[[#This Row],[Elements at Risk]])*(Exp_Combos[EP - Ocean Acidification]=Final_VEValues[[#This Row],[EP - Ocean Acidification]]),Exp_Combos[E2050 - Ocean Acidification],"",0)</f>
        <v>N/A</v>
      </c>
      <c r="X12" s="19" t="str" cm="1">
        <f t="array" ref="X12">_xlfn.XLOOKUP(1,(Exp_Combos[Elements at Risk]=Final_VEValues[[#This Row],[Elements at Risk]])*(Exp_Combos[EP - Extreme Temperature]=Final_VEValues[[#This Row],[EP - Extreme Temperature]]),Exp_Combos[E2050 - Extreme Temperature],"",0)</f>
        <v>H</v>
      </c>
      <c r="Y12" t="str" cm="1">
        <f t="array" ref="Y12">_xlfn.XLOOKUP(1,(Exp_Combos[Elements at Risk]=Final_VEValues[[#This Row],[Elements at Risk]])*(Exp_Combos[EP - Coastal Inundation]=Final_VEValues[[#This Row],[EP - Coastal Inundation]]),Exp_Combos[E2100 - Coastal Inundation],"",0)</f>
        <v>E</v>
      </c>
      <c r="Z12" t="str" cm="1">
        <f t="array" ref="Z12">_xlfn.XLOOKUP(1,(Exp_Combos[Elements at Risk]=Final_VEValues[[#This Row],[Elements at Risk]])*(Exp_Combos[EP - Extreme Rainfall]=Final_VEValues[[#This Row],[EP - Extreme Rainfall]]),Exp_Combos[E2100 - Extreme Rainfall],"",0)</f>
        <v>H</v>
      </c>
      <c r="AA12" t="str" cm="1">
        <f t="array" ref="AA12">_xlfn.XLOOKUP(1,(Exp_Combos[Elements at Risk]=Final_VEValues[[#This Row],[Elements at Risk]])*(Exp_Combos[EP - Tropical Cyclone]=Final_VEValues[[#This Row],[EP - Tropical Cyclone]]),Exp_Combos[E2100 - Tropical Cyclone],"",0)</f>
        <v>E</v>
      </c>
      <c r="AB12" t="str" cm="1">
        <f t="array" ref="AB12">_xlfn.XLOOKUP(1,(Exp_Combos[Elements at Risk]=Final_VEValues[[#This Row],[Elements at Risk]])*(Exp_Combos[EP - Drought]=Final_VEValues[[#This Row],[EP - Drought]]),Exp_Combos[E2100 - Drought],"",0)</f>
        <v>H</v>
      </c>
      <c r="AC12" t="str" cm="1">
        <f t="array" ref="AC12">_xlfn.XLOOKUP(1,(Exp_Combos[Elements at Risk]=Final_VEValues[[#This Row],[Elements at Risk]])*(Exp_Combos[EP - Marine Heat Waves]=Final_VEValues[[#This Row],[EP - Marine Heat Waves]]),Exp_Combos[E2100 - Marine Heat Waves],"",0)</f>
        <v>N/A</v>
      </c>
      <c r="AD12" t="str" cm="1">
        <f t="array" ref="AD12">_xlfn.XLOOKUP(1,(Exp_Combos[Elements at Risk]=Final_VEValues[[#This Row],[Elements at Risk]])*(Exp_Combos[EP - Ocean Acidification]=Final_VEValues[[#This Row],[EP - Ocean Acidification]]),Exp_Combos[E2100 - Ocean Acidification],"",0)</f>
        <v>N/A</v>
      </c>
      <c r="AE12" s="27" t="str" cm="1">
        <f t="array" ref="AE12">_xlfn.XLOOKUP(1,(Exp_Combos[Elements at Risk]=Final_VEValues[[#This Row],[Elements at Risk]])*(Exp_Combos[EP - Extreme Temperature]=Final_VEValues[[#This Row],[EP - Extreme Temperature]]),Exp_Combos[E2100 - Extreme Temperature],"",0)</f>
        <v>H</v>
      </c>
    </row>
    <row r="13" spans="1:31" ht="18" x14ac:dyDescent="0.35">
      <c r="A13" s="350">
        <v>10</v>
      </c>
      <c r="B13" s="79" t="s">
        <v>120</v>
      </c>
      <c r="C13" s="93" t="s">
        <v>223</v>
      </c>
      <c r="D13"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H</v>
      </c>
      <c r="E13"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H</v>
      </c>
      <c r="F13"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13"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M</v>
      </c>
      <c r="H13"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13"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13"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M</v>
      </c>
      <c r="K13" s="23" t="str" cm="1">
        <f t="array" ref="K13">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L</v>
      </c>
      <c r="L13" t="str" cm="1">
        <f t="array" ref="L13">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M</v>
      </c>
      <c r="M13" t="str" cm="1">
        <f t="array" ref="M13">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13" t="str" cm="1">
        <f t="array" ref="N13">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L</v>
      </c>
      <c r="O13" t="str" cm="1">
        <f t="array" ref="O13">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13" t="str" cm="1">
        <f t="array" ref="P13">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13" s="19" t="str" cm="1">
        <f t="array" ref="Q13">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13" t="str" cm="1">
        <f t="array" ref="R13">_xlfn.XLOOKUP(1,(Exp_Combos[Elements at Risk]=Final_VEValues[[#This Row],[Elements at Risk]])*(Exp_Combos[EP - Coastal Inundation]=Final_VEValues[[#This Row],[EP - Coastal Inundation]]),Exp_Combos[E2050 - Coastal Inundation],"",0)</f>
        <v>H</v>
      </c>
      <c r="S13" t="str" cm="1">
        <f t="array" ref="S13">_xlfn.XLOOKUP(1,(Exp_Combos[Elements at Risk]=Final_VEValues[[#This Row],[Elements at Risk]])*(Exp_Combos[EP - Extreme Rainfall]=Final_VEValues[[#This Row],[EP - Extreme Rainfall]]),Exp_Combos[E2050 - Extreme Rainfall],"",0)</f>
        <v>M</v>
      </c>
      <c r="T13" t="str" cm="1">
        <f t="array" ref="T13">_xlfn.XLOOKUP(1,(Exp_Combos[Elements at Risk]=Final_VEValues[[#This Row],[Elements at Risk]])*(Exp_Combos[EP - Tropical Cyclone]=Final_VEValues[[#This Row],[EP - Tropical Cyclone]]),Exp_Combos[E2050 - Tropical Cyclone],"",0)</f>
        <v>E</v>
      </c>
      <c r="U13" t="str" cm="1">
        <f t="array" ref="U13">_xlfn.XLOOKUP(1,(Exp_Combos[Elements at Risk]=Final_VEValues[[#This Row],[Elements at Risk]])*(Exp_Combos[EP - Drought]=Final_VEValues[[#This Row],[EP - Drought]]),Exp_Combos[E2050 - Drought],"",0)</f>
        <v>L</v>
      </c>
      <c r="V13" t="str" cm="1">
        <f t="array" ref="V13">_xlfn.XLOOKUP(1,(Exp_Combos[Elements at Risk]=Final_VEValues[[#This Row],[Elements at Risk]])*(Exp_Combos[EP - Marine Heat Waves]=Final_VEValues[[#This Row],[EP - Marine Heat Waves]]),Exp_Combos[E2050 - Marine Heat Waves],"",0)</f>
        <v>N/A</v>
      </c>
      <c r="W13" t="str" cm="1">
        <f t="array" ref="W13">_xlfn.XLOOKUP(1,(Exp_Combos[Elements at Risk]=Final_VEValues[[#This Row],[Elements at Risk]])*(Exp_Combos[EP - Ocean Acidification]=Final_VEValues[[#This Row],[EP - Ocean Acidification]]),Exp_Combos[E2050 - Ocean Acidification],"",0)</f>
        <v>N/A</v>
      </c>
      <c r="X13" s="19" t="str" cm="1">
        <f t="array" ref="X13">_xlfn.XLOOKUP(1,(Exp_Combos[Elements at Risk]=Final_VEValues[[#This Row],[Elements at Risk]])*(Exp_Combos[EP - Extreme Temperature]=Final_VEValues[[#This Row],[EP - Extreme Temperature]]),Exp_Combos[E2050 - Extreme Temperature],"",0)</f>
        <v>H</v>
      </c>
      <c r="Y13" t="str" cm="1">
        <f t="array" ref="Y13">_xlfn.XLOOKUP(1,(Exp_Combos[Elements at Risk]=Final_VEValues[[#This Row],[Elements at Risk]])*(Exp_Combos[EP - Coastal Inundation]=Final_VEValues[[#This Row],[EP - Coastal Inundation]]),Exp_Combos[E2100 - Coastal Inundation],"",0)</f>
        <v>E</v>
      </c>
      <c r="Z13" t="str" cm="1">
        <f t="array" ref="Z13">_xlfn.XLOOKUP(1,(Exp_Combos[Elements at Risk]=Final_VEValues[[#This Row],[Elements at Risk]])*(Exp_Combos[EP - Extreme Rainfall]=Final_VEValues[[#This Row],[EP - Extreme Rainfall]]),Exp_Combos[E2100 - Extreme Rainfall],"",0)</f>
        <v>H</v>
      </c>
      <c r="AA13" t="str" cm="1">
        <f t="array" ref="AA13">_xlfn.XLOOKUP(1,(Exp_Combos[Elements at Risk]=Final_VEValues[[#This Row],[Elements at Risk]])*(Exp_Combos[EP - Tropical Cyclone]=Final_VEValues[[#This Row],[EP - Tropical Cyclone]]),Exp_Combos[E2100 - Tropical Cyclone],"",0)</f>
        <v>E</v>
      </c>
      <c r="AB13" t="str" cm="1">
        <f t="array" ref="AB13">_xlfn.XLOOKUP(1,(Exp_Combos[Elements at Risk]=Final_VEValues[[#This Row],[Elements at Risk]])*(Exp_Combos[EP - Drought]=Final_VEValues[[#This Row],[EP - Drought]]),Exp_Combos[E2100 - Drought],"",0)</f>
        <v>M</v>
      </c>
      <c r="AC13" t="str" cm="1">
        <f t="array" ref="AC13">_xlfn.XLOOKUP(1,(Exp_Combos[Elements at Risk]=Final_VEValues[[#This Row],[Elements at Risk]])*(Exp_Combos[EP - Marine Heat Waves]=Final_VEValues[[#This Row],[EP - Marine Heat Waves]]),Exp_Combos[E2100 - Marine Heat Waves],"",0)</f>
        <v>N/A</v>
      </c>
      <c r="AD13" t="str" cm="1">
        <f t="array" ref="AD13">_xlfn.XLOOKUP(1,(Exp_Combos[Elements at Risk]=Final_VEValues[[#This Row],[Elements at Risk]])*(Exp_Combos[EP - Ocean Acidification]=Final_VEValues[[#This Row],[EP - Ocean Acidification]]),Exp_Combos[E2100 - Ocean Acidification],"",0)</f>
        <v>N/A</v>
      </c>
      <c r="AE13" s="27" t="str" cm="1">
        <f t="array" ref="AE13">_xlfn.XLOOKUP(1,(Exp_Combos[Elements at Risk]=Final_VEValues[[#This Row],[Elements at Risk]])*(Exp_Combos[EP - Extreme Temperature]=Final_VEValues[[#This Row],[EP - Extreme Temperature]]),Exp_Combos[E2100 - Extreme Temperature],"",0)</f>
        <v>H</v>
      </c>
    </row>
    <row r="14" spans="1:31" ht="18" x14ac:dyDescent="0.35">
      <c r="A14" s="351">
        <v>11</v>
      </c>
      <c r="B14" s="79" t="s">
        <v>120</v>
      </c>
      <c r="C14" s="93" t="s">
        <v>122</v>
      </c>
      <c r="D14"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L</v>
      </c>
      <c r="E14"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M</v>
      </c>
      <c r="F14"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14"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H</v>
      </c>
      <c r="H14"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14"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14"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H</v>
      </c>
      <c r="K14" s="23" t="str" cm="1">
        <f t="array" ref="K14">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L</v>
      </c>
      <c r="L14" t="str" cm="1">
        <f t="array" ref="L14">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L</v>
      </c>
      <c r="M14" t="str" cm="1">
        <f t="array" ref="M14">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M</v>
      </c>
      <c r="N14" t="str" cm="1">
        <f t="array" ref="N14">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M</v>
      </c>
      <c r="O14" t="str" cm="1">
        <f t="array" ref="O14">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14" t="str" cm="1">
        <f t="array" ref="P14">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14" s="19" t="str" cm="1">
        <f t="array" ref="Q14">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14" t="str" cm="1">
        <f t="array" ref="R14">_xlfn.XLOOKUP(1,(Exp_Combos[Elements at Risk]=Final_VEValues[[#This Row],[Elements at Risk]])*(Exp_Combos[EP - Coastal Inundation]=Final_VEValues[[#This Row],[EP - Coastal Inundation]]),Exp_Combos[E2050 - Coastal Inundation],"",0)</f>
        <v>M</v>
      </c>
      <c r="S14" t="str" cm="1">
        <f t="array" ref="S14">_xlfn.XLOOKUP(1,(Exp_Combos[Elements at Risk]=Final_VEValues[[#This Row],[Elements at Risk]])*(Exp_Combos[EP - Extreme Rainfall]=Final_VEValues[[#This Row],[EP - Extreme Rainfall]]),Exp_Combos[E2050 - Extreme Rainfall],"",0)</f>
        <v>M</v>
      </c>
      <c r="T14" t="str" cm="1">
        <f t="array" ref="T14">_xlfn.XLOOKUP(1,(Exp_Combos[Elements at Risk]=Final_VEValues[[#This Row],[Elements at Risk]])*(Exp_Combos[EP - Tropical Cyclone]=Final_VEValues[[#This Row],[EP - Tropical Cyclone]]),Exp_Combos[E2050 - Tropical Cyclone],"",0)</f>
        <v>H</v>
      </c>
      <c r="U14" t="str" cm="1">
        <f t="array" ref="U14">_xlfn.XLOOKUP(1,(Exp_Combos[Elements at Risk]=Final_VEValues[[#This Row],[Elements at Risk]])*(Exp_Combos[EP - Drought]=Final_VEValues[[#This Row],[EP - Drought]]),Exp_Combos[E2050 - Drought],"",0)</f>
        <v>H</v>
      </c>
      <c r="V14" t="str" cm="1">
        <f t="array" ref="V14">_xlfn.XLOOKUP(1,(Exp_Combos[Elements at Risk]=Final_VEValues[[#This Row],[Elements at Risk]])*(Exp_Combos[EP - Marine Heat Waves]=Final_VEValues[[#This Row],[EP - Marine Heat Waves]]),Exp_Combos[E2050 - Marine Heat Waves],"",0)</f>
        <v>N/A</v>
      </c>
      <c r="W14" t="str" cm="1">
        <f t="array" ref="W14">_xlfn.XLOOKUP(1,(Exp_Combos[Elements at Risk]=Final_VEValues[[#This Row],[Elements at Risk]])*(Exp_Combos[EP - Ocean Acidification]=Final_VEValues[[#This Row],[EP - Ocean Acidification]]),Exp_Combos[E2050 - Ocean Acidification],"",0)</f>
        <v>N/A</v>
      </c>
      <c r="X14" s="19" t="str" cm="1">
        <f t="array" ref="X14">_xlfn.XLOOKUP(1,(Exp_Combos[Elements at Risk]=Final_VEValues[[#This Row],[Elements at Risk]])*(Exp_Combos[EP - Extreme Temperature]=Final_VEValues[[#This Row],[EP - Extreme Temperature]]),Exp_Combos[E2050 - Extreme Temperature],"",0)</f>
        <v>H</v>
      </c>
      <c r="Y14" t="str" cm="1">
        <f t="array" ref="Y14">_xlfn.XLOOKUP(1,(Exp_Combos[Elements at Risk]=Final_VEValues[[#This Row],[Elements at Risk]])*(Exp_Combos[EP - Coastal Inundation]=Final_VEValues[[#This Row],[EP - Coastal Inundation]]),Exp_Combos[E2100 - Coastal Inundation],"",0)</f>
        <v>H</v>
      </c>
      <c r="Z14" t="str" cm="1">
        <f t="array" ref="Z14">_xlfn.XLOOKUP(1,(Exp_Combos[Elements at Risk]=Final_VEValues[[#This Row],[Elements at Risk]])*(Exp_Combos[EP - Extreme Rainfall]=Final_VEValues[[#This Row],[EP - Extreme Rainfall]]),Exp_Combos[E2100 - Extreme Rainfall],"",0)</f>
        <v>H</v>
      </c>
      <c r="AA14" t="s">
        <v>113</v>
      </c>
      <c r="AB14" t="str" cm="1">
        <f t="array" ref="AB14">_xlfn.XLOOKUP(1,(Exp_Combos[Elements at Risk]=Final_VEValues[[#This Row],[Elements at Risk]])*(Exp_Combos[EP - Drought]=Final_VEValues[[#This Row],[EP - Drought]]),Exp_Combos[E2100 - Drought],"",0)</f>
        <v>E</v>
      </c>
      <c r="AC14" t="str" cm="1">
        <f t="array" ref="AC14">_xlfn.XLOOKUP(1,(Exp_Combos[Elements at Risk]=Final_VEValues[[#This Row],[Elements at Risk]])*(Exp_Combos[EP - Marine Heat Waves]=Final_VEValues[[#This Row],[EP - Marine Heat Waves]]),Exp_Combos[E2100 - Marine Heat Waves],"",0)</f>
        <v>N/A</v>
      </c>
      <c r="AD14" t="str" cm="1">
        <f t="array" ref="AD14">_xlfn.XLOOKUP(1,(Exp_Combos[Elements at Risk]=Final_VEValues[[#This Row],[Elements at Risk]])*(Exp_Combos[EP - Ocean Acidification]=Final_VEValues[[#This Row],[EP - Ocean Acidification]]),Exp_Combos[E2100 - Ocean Acidification],"",0)</f>
        <v>N/A</v>
      </c>
      <c r="AE14" s="27" t="str" cm="1">
        <f t="array" ref="AE14">_xlfn.XLOOKUP(1,(Exp_Combos[Elements at Risk]=Final_VEValues[[#This Row],[Elements at Risk]])*(Exp_Combos[EP - Extreme Temperature]=Final_VEValues[[#This Row],[EP - Extreme Temperature]]),Exp_Combos[E2100 - Extreme Temperature],"",0)</f>
        <v>E</v>
      </c>
    </row>
    <row r="15" spans="1:31" ht="18" x14ac:dyDescent="0.35">
      <c r="A15" s="350">
        <v>12</v>
      </c>
      <c r="B15" s="79" t="s">
        <v>120</v>
      </c>
      <c r="C15" s="93" t="s">
        <v>224</v>
      </c>
      <c r="D15"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M</v>
      </c>
      <c r="E15"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H</v>
      </c>
      <c r="F15"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15"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M</v>
      </c>
      <c r="H15"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15"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15"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L</v>
      </c>
      <c r="K15" s="23" t="str" cm="1">
        <f t="array" ref="K15">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M</v>
      </c>
      <c r="L15" t="str" cm="1">
        <f t="array" ref="L15">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H</v>
      </c>
      <c r="M15" t="str" cm="1">
        <f t="array" ref="M15">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15" t="str" cm="1">
        <f t="array" ref="N15">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N/A</v>
      </c>
      <c r="O15" t="str" cm="1">
        <f t="array" ref="O15">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15" t="str" cm="1">
        <f t="array" ref="P15">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15" s="19" t="str" cm="1">
        <f t="array" ref="Q15">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L</v>
      </c>
      <c r="R15" t="str" cm="1">
        <f t="array" ref="R15">_xlfn.XLOOKUP(1,(Exp_Combos[Elements at Risk]=Final_VEValues[[#This Row],[Elements at Risk]])*(Exp_Combos[EP - Coastal Inundation]=Final_VEValues[[#This Row],[EP - Coastal Inundation]]),Exp_Combos[E2050 - Coastal Inundation],"",0)</f>
        <v>H</v>
      </c>
      <c r="S15" t="str" cm="1">
        <f t="array" ref="S15">_xlfn.XLOOKUP(1,(Exp_Combos[Elements at Risk]=Final_VEValues[[#This Row],[Elements at Risk]])*(Exp_Combos[EP - Extreme Rainfall]=Final_VEValues[[#This Row],[EP - Extreme Rainfall]]),Exp_Combos[E2050 - Extreme Rainfall],"",0)</f>
        <v>H</v>
      </c>
      <c r="T15" t="str" cm="1">
        <f t="array" ref="T15">_xlfn.XLOOKUP(1,(Exp_Combos[Elements at Risk]=Final_VEValues[[#This Row],[Elements at Risk]])*(Exp_Combos[EP - Tropical Cyclone]=Final_VEValues[[#This Row],[EP - Tropical Cyclone]]),Exp_Combos[E2050 - Tropical Cyclone],"",0)</f>
        <v>E</v>
      </c>
      <c r="U15" t="str" cm="1">
        <f t="array" ref="U15">_xlfn.XLOOKUP(1,(Exp_Combos[Elements at Risk]=Final_VEValues[[#This Row],[Elements at Risk]])*(Exp_Combos[EP - Drought]=Final_VEValues[[#This Row],[EP - Drought]]),Exp_Combos[E2050 - Drought],"",0)</f>
        <v>N/A</v>
      </c>
      <c r="V15" t="str" cm="1">
        <f t="array" ref="V15">_xlfn.XLOOKUP(1,(Exp_Combos[Elements at Risk]=Final_VEValues[[#This Row],[Elements at Risk]])*(Exp_Combos[EP - Marine Heat Waves]=Final_VEValues[[#This Row],[EP - Marine Heat Waves]]),Exp_Combos[E2050 - Marine Heat Waves],"",0)</f>
        <v>N/A</v>
      </c>
      <c r="W15" t="str" cm="1">
        <f t="array" ref="W15">_xlfn.XLOOKUP(1,(Exp_Combos[Elements at Risk]=Final_VEValues[[#This Row],[Elements at Risk]])*(Exp_Combos[EP - Ocean Acidification]=Final_VEValues[[#This Row],[EP - Ocean Acidification]]),Exp_Combos[E2050 - Ocean Acidification],"",0)</f>
        <v>N/A</v>
      </c>
      <c r="X15" s="19" t="str" cm="1">
        <f t="array" ref="X15">_xlfn.XLOOKUP(1,(Exp_Combos[Elements at Risk]=Final_VEValues[[#This Row],[Elements at Risk]])*(Exp_Combos[EP - Extreme Temperature]=Final_VEValues[[#This Row],[EP - Extreme Temperature]]),Exp_Combos[E2050 - Extreme Temperature],"",0)</f>
        <v>L</v>
      </c>
      <c r="Y15" t="str" cm="1">
        <f t="array" ref="Y15">_xlfn.XLOOKUP(1,(Exp_Combos[Elements at Risk]=Final_VEValues[[#This Row],[Elements at Risk]])*(Exp_Combos[EP - Coastal Inundation]=Final_VEValues[[#This Row],[EP - Coastal Inundation]]),Exp_Combos[E2100 - Coastal Inundation],"",0)</f>
        <v>E</v>
      </c>
      <c r="Z15" t="str" cm="1">
        <f t="array" ref="Z15">_xlfn.XLOOKUP(1,(Exp_Combos[Elements at Risk]=Final_VEValues[[#This Row],[Elements at Risk]])*(Exp_Combos[EP - Extreme Rainfall]=Final_VEValues[[#This Row],[EP - Extreme Rainfall]]),Exp_Combos[E2100 - Extreme Rainfall],"",0)</f>
        <v>E</v>
      </c>
      <c r="AA15" t="str" cm="1">
        <f t="array" ref="AA15">_xlfn.XLOOKUP(1,(Exp_Combos[Elements at Risk]=Final_VEValues[[#This Row],[Elements at Risk]])*(Exp_Combos[EP - Tropical Cyclone]=Final_VEValues[[#This Row],[EP - Tropical Cyclone]]),Exp_Combos[E2100 - Tropical Cyclone],"",0)</f>
        <v>E</v>
      </c>
      <c r="AB15" t="str" cm="1">
        <f t="array" ref="AB15">_xlfn.XLOOKUP(1,(Exp_Combos[Elements at Risk]=Final_VEValues[[#This Row],[Elements at Risk]])*(Exp_Combos[EP - Drought]=Final_VEValues[[#This Row],[EP - Drought]]),Exp_Combos[E2100 - Drought],"",0)</f>
        <v>N/A</v>
      </c>
      <c r="AC15" t="str" cm="1">
        <f t="array" ref="AC15">_xlfn.XLOOKUP(1,(Exp_Combos[Elements at Risk]=Final_VEValues[[#This Row],[Elements at Risk]])*(Exp_Combos[EP - Marine Heat Waves]=Final_VEValues[[#This Row],[EP - Marine Heat Waves]]),Exp_Combos[E2100 - Marine Heat Waves],"",0)</f>
        <v>N/A</v>
      </c>
      <c r="AD15" t="str" cm="1">
        <f t="array" ref="AD15">_xlfn.XLOOKUP(1,(Exp_Combos[Elements at Risk]=Final_VEValues[[#This Row],[Elements at Risk]])*(Exp_Combos[EP - Ocean Acidification]=Final_VEValues[[#This Row],[EP - Ocean Acidification]]),Exp_Combos[E2100 - Ocean Acidification],"",0)</f>
        <v>N/A</v>
      </c>
      <c r="AE15" s="27" t="str" cm="1">
        <f t="array" ref="AE15">_xlfn.XLOOKUP(1,(Exp_Combos[Elements at Risk]=Final_VEValues[[#This Row],[Elements at Risk]])*(Exp_Combos[EP - Extreme Temperature]=Final_VEValues[[#This Row],[EP - Extreme Temperature]]),Exp_Combos[E2100 - Extreme Temperature],"",0)</f>
        <v>M</v>
      </c>
    </row>
    <row r="16" spans="1:31" ht="18" x14ac:dyDescent="0.35">
      <c r="A16" s="351">
        <v>13</v>
      </c>
      <c r="B16" s="79" t="s">
        <v>120</v>
      </c>
      <c r="C16" s="93" t="s">
        <v>212</v>
      </c>
      <c r="D16"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H</v>
      </c>
      <c r="E16"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M</v>
      </c>
      <c r="F16"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16"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M</v>
      </c>
      <c r="H16"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16"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16"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L</v>
      </c>
      <c r="K16" s="23" t="str" cm="1">
        <f t="array" ref="K16">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M</v>
      </c>
      <c r="L16" t="str" cm="1">
        <f t="array" ref="L16">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M</v>
      </c>
      <c r="M16" t="str" cm="1">
        <f t="array" ref="M16">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16" t="str" cm="1">
        <f t="array" ref="N16">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M</v>
      </c>
      <c r="O16" t="str" cm="1">
        <f t="array" ref="O16">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16" t="str" cm="1">
        <f t="array" ref="P16">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16" s="19" t="str" cm="1">
        <f t="array" ref="Q16">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16" t="str" cm="1">
        <f t="array" ref="R16">_xlfn.XLOOKUP(1,(Exp_Combos[Elements at Risk]=Final_VEValues[[#This Row],[Elements at Risk]])*(Exp_Combos[EP - Coastal Inundation]=Final_VEValues[[#This Row],[EP - Coastal Inundation]]),Exp_Combos[E2050 - Coastal Inundation],"",0)</f>
        <v>H</v>
      </c>
      <c r="S16" t="str" cm="1">
        <f t="array" ref="S16">_xlfn.XLOOKUP(1,(Exp_Combos[Elements at Risk]=Final_VEValues[[#This Row],[Elements at Risk]])*(Exp_Combos[EP - Extreme Rainfall]=Final_VEValues[[#This Row],[EP - Extreme Rainfall]]),Exp_Combos[E2050 - Extreme Rainfall],"",0)</f>
        <v>M</v>
      </c>
      <c r="T16" t="str" cm="1">
        <f t="array" ref="T16">_xlfn.XLOOKUP(1,(Exp_Combos[Elements at Risk]=Final_VEValues[[#This Row],[Elements at Risk]])*(Exp_Combos[EP - Tropical Cyclone]=Final_VEValues[[#This Row],[EP - Tropical Cyclone]]),Exp_Combos[E2050 - Tropical Cyclone],"",0)</f>
        <v>E</v>
      </c>
      <c r="U16" t="str" cm="1">
        <f t="array" ref="U16">_xlfn.XLOOKUP(1,(Exp_Combos[Elements at Risk]=Final_VEValues[[#This Row],[Elements at Risk]])*(Exp_Combos[EP - Drought]=Final_VEValues[[#This Row],[EP - Drought]]),Exp_Combos[E2050 - Drought],"",0)</f>
        <v>H</v>
      </c>
      <c r="V16" t="str" cm="1">
        <f t="array" ref="V16">_xlfn.XLOOKUP(1,(Exp_Combos[Elements at Risk]=Final_VEValues[[#This Row],[Elements at Risk]])*(Exp_Combos[EP - Marine Heat Waves]=Final_VEValues[[#This Row],[EP - Marine Heat Waves]]),Exp_Combos[E2050 - Marine Heat Waves],"",0)</f>
        <v>N/A</v>
      </c>
      <c r="W16" t="str" cm="1">
        <f t="array" ref="W16">_xlfn.XLOOKUP(1,(Exp_Combos[Elements at Risk]=Final_VEValues[[#This Row],[Elements at Risk]])*(Exp_Combos[EP - Ocean Acidification]=Final_VEValues[[#This Row],[EP - Ocean Acidification]]),Exp_Combos[E2050 - Ocean Acidification],"",0)</f>
        <v>N/A</v>
      </c>
      <c r="X16" s="19" t="str" cm="1">
        <f t="array" ref="X16">_xlfn.XLOOKUP(1,(Exp_Combos[Elements at Risk]=Final_VEValues[[#This Row],[Elements at Risk]])*(Exp_Combos[EP - Extreme Temperature]=Final_VEValues[[#This Row],[EP - Extreme Temperature]]),Exp_Combos[E2050 - Extreme Temperature],"",0)</f>
        <v>H</v>
      </c>
      <c r="Y16" t="str" cm="1">
        <f t="array" ref="Y16">_xlfn.XLOOKUP(1,(Exp_Combos[Elements at Risk]=Final_VEValues[[#This Row],[Elements at Risk]])*(Exp_Combos[EP - Coastal Inundation]=Final_VEValues[[#This Row],[EP - Coastal Inundation]]),Exp_Combos[E2100 - Coastal Inundation],"",0)</f>
        <v>E</v>
      </c>
      <c r="Z16" t="str" cm="1">
        <f t="array" ref="Z16">_xlfn.XLOOKUP(1,(Exp_Combos[Elements at Risk]=Final_VEValues[[#This Row],[Elements at Risk]])*(Exp_Combos[EP - Extreme Rainfall]=Final_VEValues[[#This Row],[EP - Extreme Rainfall]]),Exp_Combos[E2100 - Extreme Rainfall],"",0)</f>
        <v>H</v>
      </c>
      <c r="AA16" t="str" cm="1">
        <f t="array" ref="AA16">_xlfn.XLOOKUP(1,(Exp_Combos[Elements at Risk]=Final_VEValues[[#This Row],[Elements at Risk]])*(Exp_Combos[EP - Tropical Cyclone]=Final_VEValues[[#This Row],[EP - Tropical Cyclone]]),Exp_Combos[E2100 - Tropical Cyclone],"",0)</f>
        <v>E</v>
      </c>
      <c r="AB16" t="str" cm="1">
        <f t="array" ref="AB16">_xlfn.XLOOKUP(1,(Exp_Combos[Elements at Risk]=Final_VEValues[[#This Row],[Elements at Risk]])*(Exp_Combos[EP - Drought]=Final_VEValues[[#This Row],[EP - Drought]]),Exp_Combos[E2100 - Drought],"",0)</f>
        <v>E</v>
      </c>
      <c r="AC16" t="str" cm="1">
        <f t="array" ref="AC16">_xlfn.XLOOKUP(1,(Exp_Combos[Elements at Risk]=Final_VEValues[[#This Row],[Elements at Risk]])*(Exp_Combos[EP - Marine Heat Waves]=Final_VEValues[[#This Row],[EP - Marine Heat Waves]]),Exp_Combos[E2100 - Marine Heat Waves],"",0)</f>
        <v>N/A</v>
      </c>
      <c r="AD16" t="str" cm="1">
        <f t="array" ref="AD16">_xlfn.XLOOKUP(1,(Exp_Combos[Elements at Risk]=Final_VEValues[[#This Row],[Elements at Risk]])*(Exp_Combos[EP - Ocean Acidification]=Final_VEValues[[#This Row],[EP - Ocean Acidification]]),Exp_Combos[E2100 - Ocean Acidification],"",0)</f>
        <v>N/A</v>
      </c>
      <c r="AE16" s="27" t="str" cm="1">
        <f t="array" ref="AE16">_xlfn.XLOOKUP(1,(Exp_Combos[Elements at Risk]=Final_VEValues[[#This Row],[Elements at Risk]])*(Exp_Combos[EP - Extreme Temperature]=Final_VEValues[[#This Row],[EP - Extreme Temperature]]),Exp_Combos[E2100 - Extreme Temperature],"",0)</f>
        <v>H</v>
      </c>
    </row>
    <row r="17" spans="1:31" ht="18" x14ac:dyDescent="0.35">
      <c r="A17" s="350">
        <v>14</v>
      </c>
      <c r="B17" s="79" t="s">
        <v>120</v>
      </c>
      <c r="C17" s="93" t="s">
        <v>74</v>
      </c>
      <c r="D17" s="10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M</v>
      </c>
      <c r="E17" s="17"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H</v>
      </c>
      <c r="F17" s="17"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17" s="17"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N/A</v>
      </c>
      <c r="H17" s="17"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17" s="17"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17" s="97"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M</v>
      </c>
      <c r="K17" s="103" t="str" cm="1">
        <f t="array" ref="K17">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L</v>
      </c>
      <c r="L17" s="17" t="str" cm="1">
        <f t="array" ref="L17">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M</v>
      </c>
      <c r="M17" s="17" t="str" cm="1">
        <f t="array" ref="M17">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M</v>
      </c>
      <c r="N17" s="17" t="str" cm="1">
        <f t="array" ref="N17">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N/A</v>
      </c>
      <c r="O17" s="17" t="str" cm="1">
        <f t="array" ref="O17">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17" s="17" t="str" cm="1">
        <f t="array" ref="P17">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17" s="97" t="str" cm="1">
        <f t="array" ref="Q17">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17" t="str" cm="1">
        <f t="array" ref="R17">_xlfn.XLOOKUP(1,(Exp_Combos[Elements at Risk]=Final_VEValues[[#This Row],[Elements at Risk]])*(Exp_Combos[EP - Coastal Inundation]=Final_VEValues[[#This Row],[EP - Coastal Inundation]]),Exp_Combos[E2050 - Coastal Inundation],"",0)</f>
        <v>M</v>
      </c>
      <c r="S17" t="str" cm="1">
        <f t="array" ref="S17">_xlfn.XLOOKUP(1,(Exp_Combos[Elements at Risk]=Final_VEValues[[#This Row],[Elements at Risk]])*(Exp_Combos[EP - Extreme Rainfall]=Final_VEValues[[#This Row],[EP - Extreme Rainfall]]),Exp_Combos[E2050 - Extreme Rainfall],"",0)</f>
        <v>M</v>
      </c>
      <c r="T17" t="str" cm="1">
        <f t="array" ref="T17">_xlfn.XLOOKUP(1,(Exp_Combos[Elements at Risk]=Final_VEValues[[#This Row],[Elements at Risk]])*(Exp_Combos[EP - Tropical Cyclone]=Final_VEValues[[#This Row],[EP - Tropical Cyclone]]),Exp_Combos[E2050 - Tropical Cyclone],"",0)</f>
        <v>H</v>
      </c>
      <c r="U17" t="str" cm="1">
        <f t="array" ref="U17">_xlfn.XLOOKUP(1,(Exp_Combos[Elements at Risk]=Final_VEValues[[#This Row],[Elements at Risk]])*(Exp_Combos[EP - Drought]=Final_VEValues[[#This Row],[EP - Drought]]),Exp_Combos[E2050 - Drought],"",0)</f>
        <v>N/A</v>
      </c>
      <c r="V17" t="str" cm="1">
        <f t="array" ref="V17">_xlfn.XLOOKUP(1,(Exp_Combos[Elements at Risk]=Final_VEValues[[#This Row],[Elements at Risk]])*(Exp_Combos[EP - Marine Heat Waves]=Final_VEValues[[#This Row],[EP - Marine Heat Waves]]),Exp_Combos[E2050 - Marine Heat Waves],"",0)</f>
        <v>N/A</v>
      </c>
      <c r="W17" t="str" cm="1">
        <f t="array" ref="W17">_xlfn.XLOOKUP(1,(Exp_Combos[Elements at Risk]=Final_VEValues[[#This Row],[Elements at Risk]])*(Exp_Combos[EP - Ocean Acidification]=Final_VEValues[[#This Row],[EP - Ocean Acidification]]),Exp_Combos[E2050 - Ocean Acidification],"",0)</f>
        <v>N/A</v>
      </c>
      <c r="X17" s="19" t="str" cm="1">
        <f t="array" ref="X17">_xlfn.XLOOKUP(1,(Exp_Combos[Elements at Risk]=Final_VEValues[[#This Row],[Elements at Risk]])*(Exp_Combos[EP - Extreme Temperature]=Final_VEValues[[#This Row],[EP - Extreme Temperature]]),Exp_Combos[E2050 - Extreme Temperature],"",0)</f>
        <v>H</v>
      </c>
      <c r="Y17" t="str" cm="1">
        <f t="array" ref="Y17">_xlfn.XLOOKUP(1,(Exp_Combos[Elements at Risk]=Final_VEValues[[#This Row],[Elements at Risk]])*(Exp_Combos[EP - Coastal Inundation]=Final_VEValues[[#This Row],[EP - Coastal Inundation]]),Exp_Combos[E2100 - Coastal Inundation],"",0)</f>
        <v>H</v>
      </c>
      <c r="Z17" t="str" cm="1">
        <f t="array" ref="Z17">_xlfn.XLOOKUP(1,(Exp_Combos[Elements at Risk]=Final_VEValues[[#This Row],[Elements at Risk]])*(Exp_Combos[EP - Extreme Rainfall]=Final_VEValues[[#This Row],[EP - Extreme Rainfall]]),Exp_Combos[E2100 - Extreme Rainfall],"",0)</f>
        <v>E</v>
      </c>
      <c r="AA17" t="str" cm="1">
        <f t="array" ref="AA17">_xlfn.XLOOKUP(1,(Exp_Combos[Elements at Risk]=Final_VEValues[[#This Row],[Elements at Risk]])*(Exp_Combos[EP - Tropical Cyclone]=Final_VEValues[[#This Row],[EP - Tropical Cyclone]]),Exp_Combos[E2100 - Tropical Cyclone],"",0)</f>
        <v>E</v>
      </c>
      <c r="AB17" t="str" cm="1">
        <f t="array" ref="AB17">_xlfn.XLOOKUP(1,(Exp_Combos[Elements at Risk]=Final_VEValues[[#This Row],[Elements at Risk]])*(Exp_Combos[EP - Drought]=Final_VEValues[[#This Row],[EP - Drought]]),Exp_Combos[E2100 - Drought],"",0)</f>
        <v>N/A</v>
      </c>
      <c r="AC17" t="str" cm="1">
        <f t="array" ref="AC17">_xlfn.XLOOKUP(1,(Exp_Combos[Elements at Risk]=Final_VEValues[[#This Row],[Elements at Risk]])*(Exp_Combos[EP - Marine Heat Waves]=Final_VEValues[[#This Row],[EP - Marine Heat Waves]]),Exp_Combos[E2100 - Marine Heat Waves],"",0)</f>
        <v>N/A</v>
      </c>
      <c r="AD17" t="str" cm="1">
        <f t="array" ref="AD17">_xlfn.XLOOKUP(1,(Exp_Combos[Elements at Risk]=Final_VEValues[[#This Row],[Elements at Risk]])*(Exp_Combos[EP - Ocean Acidification]=Final_VEValues[[#This Row],[EP - Ocean Acidification]]),Exp_Combos[E2100 - Ocean Acidification],"",0)</f>
        <v>N/A</v>
      </c>
      <c r="AE17" s="27" t="str" cm="1">
        <f t="array" ref="AE17">_xlfn.XLOOKUP(1,(Exp_Combos[Elements at Risk]=Final_VEValues[[#This Row],[Elements at Risk]])*(Exp_Combos[EP - Extreme Temperature]=Final_VEValues[[#This Row],[EP - Extreme Temperature]]),Exp_Combos[E2100 - Extreme Temperature],"",0)</f>
        <v>H</v>
      </c>
    </row>
    <row r="18" spans="1:31" ht="18" x14ac:dyDescent="0.35">
      <c r="A18" s="351">
        <v>15</v>
      </c>
      <c r="B18" s="78" t="s">
        <v>46</v>
      </c>
      <c r="C18" s="73" t="s">
        <v>227</v>
      </c>
      <c r="D18" s="21"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M</v>
      </c>
      <c r="E18" s="50"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E</v>
      </c>
      <c r="F18" s="50"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E</v>
      </c>
      <c r="G18" s="50"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H</v>
      </c>
      <c r="H18" s="50"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18" s="50"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18" s="95"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H</v>
      </c>
      <c r="K18" s="50" t="str" cm="1">
        <f t="array" ref="K18">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L</v>
      </c>
      <c r="L18" s="50" t="str" cm="1">
        <f t="array" ref="L18">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H</v>
      </c>
      <c r="M18" s="50" t="str" cm="1">
        <f t="array" ref="M18">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18" s="50" t="str" cm="1">
        <f t="array" ref="N18">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M</v>
      </c>
      <c r="O18" s="50" t="str" cm="1">
        <f t="array" ref="O18">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18" s="50" t="str" cm="1">
        <f t="array" ref="P18">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18" s="95" t="str" cm="1">
        <f t="array" ref="Q18">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18" s="50" t="str" cm="1">
        <f t="array" ref="R18">_xlfn.XLOOKUP(1,(Exp_Combos[Elements at Risk]=Final_VEValues[[#This Row],[Elements at Risk]])*(Exp_Combos[EP - Coastal Inundation]=Final_VEValues[[#This Row],[EP - Coastal Inundation]]),Exp_Combos[E2050 - Coastal Inundation],"",0)</f>
        <v>L</v>
      </c>
      <c r="S18" s="50" t="str" cm="1">
        <f t="array" ref="S18">_xlfn.XLOOKUP(1,(Exp_Combos[Elements at Risk]=Final_VEValues[[#This Row],[Elements at Risk]])*(Exp_Combos[EP - Extreme Rainfall]=Final_VEValues[[#This Row],[EP - Extreme Rainfall]]),Exp_Combos[E2050 - Extreme Rainfall],"",0)</f>
        <v>H</v>
      </c>
      <c r="T18" s="50" t="str" cm="1">
        <f t="array" ref="T18">_xlfn.XLOOKUP(1,(Exp_Combos[Elements at Risk]=Final_VEValues[[#This Row],[Elements at Risk]])*(Exp_Combos[EP - Tropical Cyclone]=Final_VEValues[[#This Row],[EP - Tropical Cyclone]]),Exp_Combos[E2050 - Tropical Cyclone],"",0)</f>
        <v>E</v>
      </c>
      <c r="U18" s="50" t="str" cm="1">
        <f t="array" ref="U18">_xlfn.XLOOKUP(1,(Exp_Combos[Elements at Risk]=Final_VEValues[[#This Row],[Elements at Risk]])*(Exp_Combos[EP - Drought]=Final_VEValues[[#This Row],[EP - Drought]]),Exp_Combos[E2050 - Drought],"",0)</f>
        <v>H</v>
      </c>
      <c r="V18" s="50" t="str" cm="1">
        <f t="array" ref="V18">_xlfn.XLOOKUP(1,(Exp_Combos[Elements at Risk]=Final_VEValues[[#This Row],[Elements at Risk]])*(Exp_Combos[EP - Marine Heat Waves]=Final_VEValues[[#This Row],[EP - Marine Heat Waves]]),Exp_Combos[E2050 - Marine Heat Waves],"",0)</f>
        <v>N/A</v>
      </c>
      <c r="W18" s="50" t="str" cm="1">
        <f t="array" ref="W18">_xlfn.XLOOKUP(1,(Exp_Combos[Elements at Risk]=Final_VEValues[[#This Row],[Elements at Risk]])*(Exp_Combos[EP - Ocean Acidification]=Final_VEValues[[#This Row],[EP - Ocean Acidification]]),Exp_Combos[E2050 - Ocean Acidification],"",0)</f>
        <v>N/A</v>
      </c>
      <c r="X18" s="95" t="str" cm="1">
        <f t="array" ref="X18">_xlfn.XLOOKUP(1,(Exp_Combos[Elements at Risk]=Final_VEValues[[#This Row],[Elements at Risk]])*(Exp_Combos[EP - Extreme Temperature]=Final_VEValues[[#This Row],[EP - Extreme Temperature]]),Exp_Combos[E2050 - Extreme Temperature],"",0)</f>
        <v>H</v>
      </c>
      <c r="Y18" s="50" t="str" cm="1">
        <f t="array" ref="Y18">_xlfn.XLOOKUP(1,(Exp_Combos[Elements at Risk]=Final_VEValues[[#This Row],[Elements at Risk]])*(Exp_Combos[EP - Coastal Inundation]=Final_VEValues[[#This Row],[EP - Coastal Inundation]]),Exp_Combos[E2100 - Coastal Inundation],"",0)</f>
        <v>M</v>
      </c>
      <c r="Z18" s="50" t="str" cm="1">
        <f t="array" ref="Z18">_xlfn.XLOOKUP(1,(Exp_Combos[Elements at Risk]=Final_VEValues[[#This Row],[Elements at Risk]])*(Exp_Combos[EP - Extreme Rainfall]=Final_VEValues[[#This Row],[EP - Extreme Rainfall]]),Exp_Combos[E2100 - Extreme Rainfall],"",0)</f>
        <v>H</v>
      </c>
      <c r="AA18" s="50" t="str" cm="1">
        <f t="array" ref="AA18">_xlfn.XLOOKUP(1,(Exp_Combos[Elements at Risk]=Final_VEValues[[#This Row],[Elements at Risk]])*(Exp_Combos[EP - Tropical Cyclone]=Final_VEValues[[#This Row],[EP - Tropical Cyclone]]),Exp_Combos[E2100 - Tropical Cyclone],"",0)</f>
        <v>E</v>
      </c>
      <c r="AB18" s="50" t="str" cm="1">
        <f t="array" ref="AB18">_xlfn.XLOOKUP(1,(Exp_Combos[Elements at Risk]=Final_VEValues[[#This Row],[Elements at Risk]])*(Exp_Combos[EP - Drought]=Final_VEValues[[#This Row],[EP - Drought]]),Exp_Combos[E2100 - Drought],"",0)</f>
        <v>E</v>
      </c>
      <c r="AC18" s="50" t="str" cm="1">
        <f t="array" ref="AC18">_xlfn.XLOOKUP(1,(Exp_Combos[Elements at Risk]=Final_VEValues[[#This Row],[Elements at Risk]])*(Exp_Combos[EP - Marine Heat Waves]=Final_VEValues[[#This Row],[EP - Marine Heat Waves]]),Exp_Combos[E2100 - Marine Heat Waves],"",0)</f>
        <v>N/A</v>
      </c>
      <c r="AD18" s="50" t="str" cm="1">
        <f t="array" ref="AD18">_xlfn.XLOOKUP(1,(Exp_Combos[Elements at Risk]=Final_VEValues[[#This Row],[Elements at Risk]])*(Exp_Combos[EP - Ocean Acidification]=Final_VEValues[[#This Row],[EP - Ocean Acidification]]),Exp_Combos[E2100 - Ocean Acidification],"",0)</f>
        <v>N/A</v>
      </c>
      <c r="AE18" s="342" t="str" cm="1">
        <f t="array" ref="AE18">_xlfn.XLOOKUP(1,(Exp_Combos[Elements at Risk]=Final_VEValues[[#This Row],[Elements at Risk]])*(Exp_Combos[EP - Extreme Temperature]=Final_VEValues[[#This Row],[EP - Extreme Temperature]]),Exp_Combos[E2100 - Extreme Temperature],"",0)</f>
        <v>E</v>
      </c>
    </row>
    <row r="19" spans="1:31" ht="18" x14ac:dyDescent="0.35">
      <c r="A19" s="350">
        <v>16</v>
      </c>
      <c r="B19" s="79" t="s">
        <v>46</v>
      </c>
      <c r="C19" s="93" t="s">
        <v>226</v>
      </c>
      <c r="D19"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H</v>
      </c>
      <c r="E19"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E</v>
      </c>
      <c r="F19"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E</v>
      </c>
      <c r="G19"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L</v>
      </c>
      <c r="H19"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M</v>
      </c>
      <c r="I19"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M</v>
      </c>
      <c r="J19"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H</v>
      </c>
      <c r="K19" t="str" cm="1">
        <f t="array" ref="K19">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L</v>
      </c>
      <c r="L19" t="str" cm="1">
        <f t="array" ref="L19">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H</v>
      </c>
      <c r="M19" t="str" cm="1">
        <f t="array" ref="M19">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19" t="str" cm="1">
        <f t="array" ref="N19">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L</v>
      </c>
      <c r="O19" t="str" cm="1">
        <f t="array" ref="O19">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M</v>
      </c>
      <c r="P19" t="str" cm="1">
        <f t="array" ref="P19">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M</v>
      </c>
      <c r="Q19" s="19" t="str" cm="1">
        <f t="array" ref="Q19">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19" t="str" cm="1">
        <f t="array" ref="R19">_xlfn.XLOOKUP(1,(Exp_Combos[Elements at Risk]=Final_VEValues[[#This Row],[Elements at Risk]])*(Exp_Combos[EP - Coastal Inundation]=Final_VEValues[[#This Row],[EP - Coastal Inundation]]),Exp_Combos[E2050 - Coastal Inundation],"",0)</f>
        <v>L</v>
      </c>
      <c r="S19" t="str" cm="1">
        <f t="array" ref="S19">_xlfn.XLOOKUP(1,(Exp_Combos[Elements at Risk]=Final_VEValues[[#This Row],[Elements at Risk]])*(Exp_Combos[EP - Extreme Rainfall]=Final_VEValues[[#This Row],[EP - Extreme Rainfall]]),Exp_Combos[E2050 - Extreme Rainfall],"",0)</f>
        <v>H</v>
      </c>
      <c r="T19" t="str" cm="1">
        <f t="array" ref="T19">_xlfn.XLOOKUP(1,(Exp_Combos[Elements at Risk]=Final_VEValues[[#This Row],[Elements at Risk]])*(Exp_Combos[EP - Tropical Cyclone]=Final_VEValues[[#This Row],[EP - Tropical Cyclone]]),Exp_Combos[E2050 - Tropical Cyclone],"",0)</f>
        <v>E</v>
      </c>
      <c r="U19" t="str" cm="1">
        <f t="array" ref="U19">_xlfn.XLOOKUP(1,(Exp_Combos[Elements at Risk]=Final_VEValues[[#This Row],[Elements at Risk]])*(Exp_Combos[EP - Drought]=Final_VEValues[[#This Row],[EP - Drought]]),Exp_Combos[E2050 - Drought],"",0)</f>
        <v>L</v>
      </c>
      <c r="V19" t="str" cm="1">
        <f t="array" ref="V19">_xlfn.XLOOKUP(1,(Exp_Combos[Elements at Risk]=Final_VEValues[[#This Row],[Elements at Risk]])*(Exp_Combos[EP - Marine Heat Waves]=Final_VEValues[[#This Row],[EP - Marine Heat Waves]]),Exp_Combos[E2050 - Marine Heat Waves],"",0)</f>
        <v>H</v>
      </c>
      <c r="W19" t="str" cm="1">
        <f t="array" ref="W19">_xlfn.XLOOKUP(1,(Exp_Combos[Elements at Risk]=Final_VEValues[[#This Row],[Elements at Risk]])*(Exp_Combos[EP - Ocean Acidification]=Final_VEValues[[#This Row],[EP - Ocean Acidification]]),Exp_Combos[E2050 - Ocean Acidification],"",0)</f>
        <v>H</v>
      </c>
      <c r="X19" s="19" t="str" cm="1">
        <f t="array" ref="X19">_xlfn.XLOOKUP(1,(Exp_Combos[Elements at Risk]=Final_VEValues[[#This Row],[Elements at Risk]])*(Exp_Combos[EP - Extreme Temperature]=Final_VEValues[[#This Row],[EP - Extreme Temperature]]),Exp_Combos[E2050 - Extreme Temperature],"",0)</f>
        <v>H</v>
      </c>
      <c r="Y19" t="str" cm="1">
        <f t="array" ref="Y19">_xlfn.XLOOKUP(1,(Exp_Combos[Elements at Risk]=Final_VEValues[[#This Row],[Elements at Risk]])*(Exp_Combos[EP - Coastal Inundation]=Final_VEValues[[#This Row],[EP - Coastal Inundation]]),Exp_Combos[E2100 - Coastal Inundation],"",0)</f>
        <v>M</v>
      </c>
      <c r="Z19" t="str" cm="1">
        <f t="array" ref="Z19">_xlfn.XLOOKUP(1,(Exp_Combos[Elements at Risk]=Final_VEValues[[#This Row],[Elements at Risk]])*(Exp_Combos[EP - Extreme Rainfall]=Final_VEValues[[#This Row],[EP - Extreme Rainfall]]),Exp_Combos[E2100 - Extreme Rainfall],"",0)</f>
        <v>H</v>
      </c>
      <c r="AA19" t="str" cm="1">
        <f t="array" ref="AA19">_xlfn.XLOOKUP(1,(Exp_Combos[Elements at Risk]=Final_VEValues[[#This Row],[Elements at Risk]])*(Exp_Combos[EP - Tropical Cyclone]=Final_VEValues[[#This Row],[EP - Tropical Cyclone]]),Exp_Combos[E2100 - Tropical Cyclone],"",0)</f>
        <v>E</v>
      </c>
      <c r="AB19" t="str" cm="1">
        <f t="array" ref="AB19">_xlfn.XLOOKUP(1,(Exp_Combos[Elements at Risk]=Final_VEValues[[#This Row],[Elements at Risk]])*(Exp_Combos[EP - Drought]=Final_VEValues[[#This Row],[EP - Drought]]),Exp_Combos[E2100 - Drought],"",0)</f>
        <v>L</v>
      </c>
      <c r="AC19" t="str" cm="1">
        <f t="array" ref="AC19">_xlfn.XLOOKUP(1,(Exp_Combos[Elements at Risk]=Final_VEValues[[#This Row],[Elements at Risk]])*(Exp_Combos[EP - Marine Heat Waves]=Final_VEValues[[#This Row],[EP - Marine Heat Waves]]),Exp_Combos[E2100 - Marine Heat Waves],"",0)</f>
        <v>E</v>
      </c>
      <c r="AD19" t="str" cm="1">
        <f t="array" ref="AD19">_xlfn.XLOOKUP(1,(Exp_Combos[Elements at Risk]=Final_VEValues[[#This Row],[Elements at Risk]])*(Exp_Combos[EP - Ocean Acidification]=Final_VEValues[[#This Row],[EP - Ocean Acidification]]),Exp_Combos[E2100 - Ocean Acidification],"",0)</f>
        <v>E</v>
      </c>
      <c r="AE19" s="27" t="str" cm="1">
        <f t="array" ref="AE19">_xlfn.XLOOKUP(1,(Exp_Combos[Elements at Risk]=Final_VEValues[[#This Row],[Elements at Risk]])*(Exp_Combos[EP - Extreme Temperature]=Final_VEValues[[#This Row],[EP - Extreme Temperature]]),Exp_Combos[E2100 - Extreme Temperature],"",0)</f>
        <v>E</v>
      </c>
    </row>
    <row r="20" spans="1:31" ht="18" x14ac:dyDescent="0.35">
      <c r="A20" s="351">
        <v>17</v>
      </c>
      <c r="B20" s="79" t="s">
        <v>46</v>
      </c>
      <c r="C20" s="93" t="s">
        <v>225</v>
      </c>
      <c r="D20"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L</v>
      </c>
      <c r="E20"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E</v>
      </c>
      <c r="F20"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E</v>
      </c>
      <c r="G20"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H</v>
      </c>
      <c r="H20"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20"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20"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H</v>
      </c>
      <c r="K20" t="str" cm="1">
        <f t="array" ref="K20">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L</v>
      </c>
      <c r="L20" t="str" cm="1">
        <f t="array" ref="L20">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H</v>
      </c>
      <c r="M20" t="str" cm="1">
        <f t="array" ref="M20">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20" t="str" cm="1">
        <f t="array" ref="N20">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M</v>
      </c>
      <c r="O20" t="str" cm="1">
        <f t="array" ref="O20">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20" t="str" cm="1">
        <f t="array" ref="P20">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20" s="19" t="str" cm="1">
        <f t="array" ref="Q20">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20" t="str" cm="1">
        <f t="array" ref="R20">_xlfn.XLOOKUP(1,(Exp_Combos[Elements at Risk]=Final_VEValues[[#This Row],[Elements at Risk]])*(Exp_Combos[EP - Coastal Inundation]=Final_VEValues[[#This Row],[EP - Coastal Inundation]]),Exp_Combos[E2050 - Coastal Inundation],"",0)</f>
        <v>L</v>
      </c>
      <c r="S20" t="str" cm="1">
        <f t="array" ref="S20">_xlfn.XLOOKUP(1,(Exp_Combos[Elements at Risk]=Final_VEValues[[#This Row],[Elements at Risk]])*(Exp_Combos[EP - Extreme Rainfall]=Final_VEValues[[#This Row],[EP - Extreme Rainfall]]),Exp_Combos[E2050 - Extreme Rainfall],"",0)</f>
        <v>H</v>
      </c>
      <c r="T20" t="str" cm="1">
        <f t="array" ref="T20">_xlfn.XLOOKUP(1,(Exp_Combos[Elements at Risk]=Final_VEValues[[#This Row],[Elements at Risk]])*(Exp_Combos[EP - Tropical Cyclone]=Final_VEValues[[#This Row],[EP - Tropical Cyclone]]),Exp_Combos[E2050 - Tropical Cyclone],"",0)</f>
        <v>E</v>
      </c>
      <c r="U20" t="str" cm="1">
        <f t="array" ref="U20">_xlfn.XLOOKUP(1,(Exp_Combos[Elements at Risk]=Final_VEValues[[#This Row],[Elements at Risk]])*(Exp_Combos[EP - Drought]=Final_VEValues[[#This Row],[EP - Drought]]),Exp_Combos[E2050 - Drought],"",0)</f>
        <v>H</v>
      </c>
      <c r="V20" t="str" cm="1">
        <f t="array" ref="V20">_xlfn.XLOOKUP(1,(Exp_Combos[Elements at Risk]=Final_VEValues[[#This Row],[Elements at Risk]])*(Exp_Combos[EP - Marine Heat Waves]=Final_VEValues[[#This Row],[EP - Marine Heat Waves]]),Exp_Combos[E2050 - Marine Heat Waves],"",0)</f>
        <v>N/A</v>
      </c>
      <c r="W20" t="str" cm="1">
        <f t="array" ref="W20">_xlfn.XLOOKUP(1,(Exp_Combos[Elements at Risk]=Final_VEValues[[#This Row],[Elements at Risk]])*(Exp_Combos[EP - Ocean Acidification]=Final_VEValues[[#This Row],[EP - Ocean Acidification]]),Exp_Combos[E2050 - Ocean Acidification],"",0)</f>
        <v>N/A</v>
      </c>
      <c r="X20" s="19" t="str" cm="1">
        <f t="array" ref="X20">_xlfn.XLOOKUP(1,(Exp_Combos[Elements at Risk]=Final_VEValues[[#This Row],[Elements at Risk]])*(Exp_Combos[EP - Extreme Temperature]=Final_VEValues[[#This Row],[EP - Extreme Temperature]]),Exp_Combos[E2050 - Extreme Temperature],"",0)</f>
        <v>H</v>
      </c>
      <c r="Y20" t="str" cm="1">
        <f t="array" ref="Y20">_xlfn.XLOOKUP(1,(Exp_Combos[Elements at Risk]=Final_VEValues[[#This Row],[Elements at Risk]])*(Exp_Combos[EP - Coastal Inundation]=Final_VEValues[[#This Row],[EP - Coastal Inundation]]),Exp_Combos[E2100 - Coastal Inundation],"",0)</f>
        <v>H</v>
      </c>
      <c r="Z20" t="str" cm="1">
        <f t="array" ref="Z20">_xlfn.XLOOKUP(1,(Exp_Combos[Elements at Risk]=Final_VEValues[[#This Row],[Elements at Risk]])*(Exp_Combos[EP - Extreme Rainfall]=Final_VEValues[[#This Row],[EP - Extreme Rainfall]]),Exp_Combos[E2100 - Extreme Rainfall],"",0)</f>
        <v>H</v>
      </c>
      <c r="AA20" t="str" cm="1">
        <f t="array" ref="AA20">_xlfn.XLOOKUP(1,(Exp_Combos[Elements at Risk]=Final_VEValues[[#This Row],[Elements at Risk]])*(Exp_Combos[EP - Tropical Cyclone]=Final_VEValues[[#This Row],[EP - Tropical Cyclone]]),Exp_Combos[E2100 - Tropical Cyclone],"",0)</f>
        <v>E</v>
      </c>
      <c r="AB20" t="str" cm="1">
        <f t="array" ref="AB20">_xlfn.XLOOKUP(1,(Exp_Combos[Elements at Risk]=Final_VEValues[[#This Row],[Elements at Risk]])*(Exp_Combos[EP - Drought]=Final_VEValues[[#This Row],[EP - Drought]]),Exp_Combos[E2100 - Drought],"",0)</f>
        <v>E</v>
      </c>
      <c r="AC20" t="str" cm="1">
        <f t="array" ref="AC20">_xlfn.XLOOKUP(1,(Exp_Combos[Elements at Risk]=Final_VEValues[[#This Row],[Elements at Risk]])*(Exp_Combos[EP - Marine Heat Waves]=Final_VEValues[[#This Row],[EP - Marine Heat Waves]]),Exp_Combos[E2100 - Marine Heat Waves],"",0)</f>
        <v>N/A</v>
      </c>
      <c r="AD20" t="str" cm="1">
        <f t="array" ref="AD20">_xlfn.XLOOKUP(1,(Exp_Combos[Elements at Risk]=Final_VEValues[[#This Row],[Elements at Risk]])*(Exp_Combos[EP - Ocean Acidification]=Final_VEValues[[#This Row],[EP - Ocean Acidification]]),Exp_Combos[E2100 - Ocean Acidification],"",0)</f>
        <v>N/A</v>
      </c>
      <c r="AE20" s="27" t="str" cm="1">
        <f t="array" ref="AE20">_xlfn.XLOOKUP(1,(Exp_Combos[Elements at Risk]=Final_VEValues[[#This Row],[Elements at Risk]])*(Exp_Combos[EP - Extreme Temperature]=Final_VEValues[[#This Row],[EP - Extreme Temperature]]),Exp_Combos[E2100 - Extreme Temperature],"",0)</f>
        <v>E</v>
      </c>
    </row>
    <row r="21" spans="1:31" ht="18" x14ac:dyDescent="0.35">
      <c r="A21" s="350">
        <v>18</v>
      </c>
      <c r="B21" s="79" t="s">
        <v>46</v>
      </c>
      <c r="C21" s="93" t="s">
        <v>79</v>
      </c>
      <c r="D21"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H</v>
      </c>
      <c r="E21"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E</v>
      </c>
      <c r="F21"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E</v>
      </c>
      <c r="G21"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L</v>
      </c>
      <c r="H21"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M</v>
      </c>
      <c r="I21"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M</v>
      </c>
      <c r="J21"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H</v>
      </c>
      <c r="K21" t="str" cm="1">
        <f t="array" ref="K21">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M</v>
      </c>
      <c r="L21" t="str" cm="1">
        <f t="array" ref="L21">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H</v>
      </c>
      <c r="M21" t="str" cm="1">
        <f t="array" ref="M21">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21" t="str" cm="1">
        <f t="array" ref="N21">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L</v>
      </c>
      <c r="O21" t="str" cm="1">
        <f t="array" ref="O21">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L</v>
      </c>
      <c r="P21" t="str" cm="1">
        <f t="array" ref="P21">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L</v>
      </c>
      <c r="Q21" s="19" t="str" cm="1">
        <f t="array" ref="Q21">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21" t="str" cm="1">
        <f t="array" ref="R21">_xlfn.XLOOKUP(1,(Exp_Combos[Elements at Risk]=Final_VEValues[[#This Row],[Elements at Risk]])*(Exp_Combos[EP - Coastal Inundation]=Final_VEValues[[#This Row],[EP - Coastal Inundation]]),Exp_Combos[E2050 - Coastal Inundation],"",0)</f>
        <v>H</v>
      </c>
      <c r="S21" t="str" cm="1">
        <f t="array" ref="S21">_xlfn.XLOOKUP(1,(Exp_Combos[Elements at Risk]=Final_VEValues[[#This Row],[Elements at Risk]])*(Exp_Combos[EP - Extreme Rainfall]=Final_VEValues[[#This Row],[EP - Extreme Rainfall]]),Exp_Combos[E2050 - Extreme Rainfall],"",0)</f>
        <v>H</v>
      </c>
      <c r="T21" t="str" cm="1">
        <f t="array" ref="T21">_xlfn.XLOOKUP(1,(Exp_Combos[Elements at Risk]=Final_VEValues[[#This Row],[Elements at Risk]])*(Exp_Combos[EP - Tropical Cyclone]=Final_VEValues[[#This Row],[EP - Tropical Cyclone]]),Exp_Combos[E2050 - Tropical Cyclone],"",0)</f>
        <v>E</v>
      </c>
      <c r="U21" t="str" cm="1">
        <f t="array" ref="U21">_xlfn.XLOOKUP(1,(Exp_Combos[Elements at Risk]=Final_VEValues[[#This Row],[Elements at Risk]])*(Exp_Combos[EP - Drought]=Final_VEValues[[#This Row],[EP - Drought]]),Exp_Combos[E2050 - Drought],"",0)</f>
        <v>L</v>
      </c>
      <c r="V21" t="str" cm="1">
        <f t="array" ref="V21">_xlfn.XLOOKUP(1,(Exp_Combos[Elements at Risk]=Final_VEValues[[#This Row],[Elements at Risk]])*(Exp_Combos[EP - Marine Heat Waves]=Final_VEValues[[#This Row],[EP - Marine Heat Waves]]),Exp_Combos[E2050 - Marine Heat Waves],"",0)</f>
        <v>H</v>
      </c>
      <c r="W21" t="str" cm="1">
        <f t="array" ref="W21">_xlfn.XLOOKUP(1,(Exp_Combos[Elements at Risk]=Final_VEValues[[#This Row],[Elements at Risk]])*(Exp_Combos[EP - Ocean Acidification]=Final_VEValues[[#This Row],[EP - Ocean Acidification]]),Exp_Combos[E2050 - Ocean Acidification],"",0)</f>
        <v>H</v>
      </c>
      <c r="X21" s="19" t="str" cm="1">
        <f t="array" ref="X21">_xlfn.XLOOKUP(1,(Exp_Combos[Elements at Risk]=Final_VEValues[[#This Row],[Elements at Risk]])*(Exp_Combos[EP - Extreme Temperature]=Final_VEValues[[#This Row],[EP - Extreme Temperature]]),Exp_Combos[E2050 - Extreme Temperature],"",0)</f>
        <v>H</v>
      </c>
      <c r="Y21" t="str" cm="1">
        <f t="array" ref="Y21">_xlfn.XLOOKUP(1,(Exp_Combos[Elements at Risk]=Final_VEValues[[#This Row],[Elements at Risk]])*(Exp_Combos[EP - Coastal Inundation]=Final_VEValues[[#This Row],[EP - Coastal Inundation]]),Exp_Combos[E2100 - Coastal Inundation],"",0)</f>
        <v>E</v>
      </c>
      <c r="Z21" t="str" cm="1">
        <f t="array" ref="Z21">_xlfn.XLOOKUP(1,(Exp_Combos[Elements at Risk]=Final_VEValues[[#This Row],[Elements at Risk]])*(Exp_Combos[EP - Extreme Rainfall]=Final_VEValues[[#This Row],[EP - Extreme Rainfall]]),Exp_Combos[E2100 - Extreme Rainfall],"",0)</f>
        <v>H</v>
      </c>
      <c r="AA21" t="str" cm="1">
        <f t="array" ref="AA21">_xlfn.XLOOKUP(1,(Exp_Combos[Elements at Risk]=Final_VEValues[[#This Row],[Elements at Risk]])*(Exp_Combos[EP - Tropical Cyclone]=Final_VEValues[[#This Row],[EP - Tropical Cyclone]]),Exp_Combos[E2100 - Tropical Cyclone],"",0)</f>
        <v>E</v>
      </c>
      <c r="AB21" t="str" cm="1">
        <f t="array" ref="AB21">_xlfn.XLOOKUP(1,(Exp_Combos[Elements at Risk]=Final_VEValues[[#This Row],[Elements at Risk]])*(Exp_Combos[EP - Drought]=Final_VEValues[[#This Row],[EP - Drought]]),Exp_Combos[E2100 - Drought],"",0)</f>
        <v>L</v>
      </c>
      <c r="AC21" t="str" cm="1">
        <f t="array" ref="AC21">_xlfn.XLOOKUP(1,(Exp_Combos[Elements at Risk]=Final_VEValues[[#This Row],[Elements at Risk]])*(Exp_Combos[EP - Marine Heat Waves]=Final_VEValues[[#This Row],[EP - Marine Heat Waves]]),Exp_Combos[E2100 - Marine Heat Waves],"",0)</f>
        <v>E</v>
      </c>
      <c r="AD21" t="str" cm="1">
        <f t="array" ref="AD21">_xlfn.XLOOKUP(1,(Exp_Combos[Elements at Risk]=Final_VEValues[[#This Row],[Elements at Risk]])*(Exp_Combos[EP - Ocean Acidification]=Final_VEValues[[#This Row],[EP - Ocean Acidification]]),Exp_Combos[E2100 - Ocean Acidification],"",0)</f>
        <v>E</v>
      </c>
      <c r="AE21" s="27" t="str" cm="1">
        <f t="array" ref="AE21">_xlfn.XLOOKUP(1,(Exp_Combos[Elements at Risk]=Final_VEValues[[#This Row],[Elements at Risk]])*(Exp_Combos[EP - Extreme Temperature]=Final_VEValues[[#This Row],[EP - Extreme Temperature]]),Exp_Combos[E2100 - Extreme Temperature],"",0)</f>
        <v>E</v>
      </c>
    </row>
    <row r="22" spans="1:31" ht="18" x14ac:dyDescent="0.35">
      <c r="A22" s="351">
        <v>19</v>
      </c>
      <c r="B22" s="79" t="s">
        <v>46</v>
      </c>
      <c r="C22" s="93" t="s">
        <v>443</v>
      </c>
      <c r="D22"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H</v>
      </c>
      <c r="E22"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E</v>
      </c>
      <c r="F22"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E</v>
      </c>
      <c r="G22"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L</v>
      </c>
      <c r="H22"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22"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22"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L</v>
      </c>
      <c r="K22" t="str" cm="1">
        <f t="array" ref="K22">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M</v>
      </c>
      <c r="L22" t="str" cm="1">
        <f t="array" ref="L22">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H</v>
      </c>
      <c r="M22" t="str" cm="1">
        <f t="array" ref="M22">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22" t="str" cm="1">
        <f t="array" ref="N22">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L</v>
      </c>
      <c r="O22" t="str" cm="1">
        <f t="array" ref="O22">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22" t="str" cm="1">
        <f t="array" ref="P22">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22" s="19" t="str" cm="1">
        <f t="array" ref="Q22">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22" t="str" cm="1">
        <f t="array" ref="R22">_xlfn.XLOOKUP(1,(Exp_Combos[Elements at Risk]=Final_VEValues[[#This Row],[Elements at Risk]])*(Exp_Combos[EP - Coastal Inundation]=Final_VEValues[[#This Row],[EP - Coastal Inundation]]),Exp_Combos[E2050 - Coastal Inundation],"",0)</f>
        <v>H</v>
      </c>
      <c r="S22" t="str" cm="1">
        <f t="array" ref="S22">_xlfn.XLOOKUP(1,(Exp_Combos[Elements at Risk]=Final_VEValues[[#This Row],[Elements at Risk]])*(Exp_Combos[EP - Extreme Rainfall]=Final_VEValues[[#This Row],[EP - Extreme Rainfall]]),Exp_Combos[E2050 - Extreme Rainfall],"",0)</f>
        <v>H</v>
      </c>
      <c r="T22" t="str" cm="1">
        <f t="array" ref="T22">_xlfn.XLOOKUP(1,(Exp_Combos[Elements at Risk]=Final_VEValues[[#This Row],[Elements at Risk]])*(Exp_Combos[EP - Tropical Cyclone]=Final_VEValues[[#This Row],[EP - Tropical Cyclone]]),Exp_Combos[E2050 - Tropical Cyclone],"",0)</f>
        <v>E</v>
      </c>
      <c r="U22" t="str" cm="1">
        <f t="array" ref="U22">_xlfn.XLOOKUP(1,(Exp_Combos[Elements at Risk]=Final_VEValues[[#This Row],[Elements at Risk]])*(Exp_Combos[EP - Drought]=Final_VEValues[[#This Row],[EP - Drought]]),Exp_Combos[E2050 - Drought],"",0)</f>
        <v>M</v>
      </c>
      <c r="V22" t="str" cm="1">
        <f t="array" ref="V22">_xlfn.XLOOKUP(1,(Exp_Combos[Elements at Risk]=Final_VEValues[[#This Row],[Elements at Risk]])*(Exp_Combos[EP - Marine Heat Waves]=Final_VEValues[[#This Row],[EP - Marine Heat Waves]]),Exp_Combos[E2050 - Marine Heat Waves],"",0)</f>
        <v>N/A</v>
      </c>
      <c r="W22" t="str" cm="1">
        <f t="array" ref="W22">_xlfn.XLOOKUP(1,(Exp_Combos[Elements at Risk]=Final_VEValues[[#This Row],[Elements at Risk]])*(Exp_Combos[EP - Ocean Acidification]=Final_VEValues[[#This Row],[EP - Ocean Acidification]]),Exp_Combos[E2050 - Ocean Acidification],"",0)</f>
        <v>N/A</v>
      </c>
      <c r="X22" s="19" t="str" cm="1">
        <f t="array" ref="X22">_xlfn.XLOOKUP(1,(Exp_Combos[Elements at Risk]=Final_VEValues[[#This Row],[Elements at Risk]])*(Exp_Combos[EP - Extreme Temperature]=Final_VEValues[[#This Row],[EP - Extreme Temperature]]),Exp_Combos[E2050 - Extreme Temperature],"",0)</f>
        <v>M</v>
      </c>
      <c r="Y22" t="str" cm="1">
        <f t="array" ref="Y22">_xlfn.XLOOKUP(1,(Exp_Combos[Elements at Risk]=Final_VEValues[[#This Row],[Elements at Risk]])*(Exp_Combos[EP - Coastal Inundation]=Final_VEValues[[#This Row],[EP - Coastal Inundation]]),Exp_Combos[E2100 - Coastal Inundation],"",0)</f>
        <v>H</v>
      </c>
      <c r="Z22" t="str" cm="1">
        <f t="array" ref="Z22">_xlfn.XLOOKUP(1,(Exp_Combos[Elements at Risk]=Final_VEValues[[#This Row],[Elements at Risk]])*(Exp_Combos[EP - Extreme Rainfall]=Final_VEValues[[#This Row],[EP - Extreme Rainfall]]),Exp_Combos[E2100 - Extreme Rainfall],"",0)</f>
        <v>H</v>
      </c>
      <c r="AA22" t="str" cm="1">
        <f t="array" ref="AA22">_xlfn.XLOOKUP(1,(Exp_Combos[Elements at Risk]=Final_VEValues[[#This Row],[Elements at Risk]])*(Exp_Combos[EP - Tropical Cyclone]=Final_VEValues[[#This Row],[EP - Tropical Cyclone]]),Exp_Combos[E2100 - Tropical Cyclone],"",0)</f>
        <v>E</v>
      </c>
      <c r="AB22" t="str" cm="1">
        <f t="array" ref="AB22">_xlfn.XLOOKUP(1,(Exp_Combos[Elements at Risk]=Final_VEValues[[#This Row],[Elements at Risk]])*(Exp_Combos[EP - Drought]=Final_VEValues[[#This Row],[EP - Drought]]),Exp_Combos[E2100 - Drought],"",0)</f>
        <v>H</v>
      </c>
      <c r="AC22" t="str" cm="1">
        <f t="array" ref="AC22">_xlfn.XLOOKUP(1,(Exp_Combos[Elements at Risk]=Final_VEValues[[#This Row],[Elements at Risk]])*(Exp_Combos[EP - Marine Heat Waves]=Final_VEValues[[#This Row],[EP - Marine Heat Waves]]),Exp_Combos[E2100 - Marine Heat Waves],"",0)</f>
        <v>N/A</v>
      </c>
      <c r="AD22" t="str" cm="1">
        <f t="array" ref="AD22">_xlfn.XLOOKUP(1,(Exp_Combos[Elements at Risk]=Final_VEValues[[#This Row],[Elements at Risk]])*(Exp_Combos[EP - Ocean Acidification]=Final_VEValues[[#This Row],[EP - Ocean Acidification]]),Exp_Combos[E2100 - Ocean Acidification],"",0)</f>
        <v>N/A</v>
      </c>
      <c r="AE22" s="27" t="str" cm="1">
        <f t="array" ref="AE22">_xlfn.XLOOKUP(1,(Exp_Combos[Elements at Risk]=Final_VEValues[[#This Row],[Elements at Risk]])*(Exp_Combos[EP - Extreme Temperature]=Final_VEValues[[#This Row],[EP - Extreme Temperature]]),Exp_Combos[E2100 - Extreme Temperature],"",0)</f>
        <v>M</v>
      </c>
    </row>
    <row r="23" spans="1:31" ht="18" x14ac:dyDescent="0.35">
      <c r="A23" s="350">
        <v>20</v>
      </c>
      <c r="B23" s="79" t="s">
        <v>46</v>
      </c>
      <c r="C23" s="93" t="s">
        <v>222</v>
      </c>
      <c r="D23"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L</v>
      </c>
      <c r="E23"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E</v>
      </c>
      <c r="F23"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E</v>
      </c>
      <c r="G23"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M</v>
      </c>
      <c r="H23"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L</v>
      </c>
      <c r="I23"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L</v>
      </c>
      <c r="J23"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L</v>
      </c>
      <c r="K23" t="str" cm="1">
        <f t="array" ref="K23">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M</v>
      </c>
      <c r="L23" t="str" cm="1">
        <f t="array" ref="L23">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H</v>
      </c>
      <c r="M23" t="str" cm="1">
        <f t="array" ref="M23">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H</v>
      </c>
      <c r="N23" t="str" cm="1">
        <f t="array" ref="N23">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L</v>
      </c>
      <c r="O23" t="str" cm="1">
        <f t="array" ref="O23">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L</v>
      </c>
      <c r="P23" t="str" cm="1">
        <f t="array" ref="P23">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L</v>
      </c>
      <c r="Q23" s="19" t="str" cm="1">
        <f t="array" ref="Q23">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23" t="str" cm="1">
        <f t="array" ref="R23">_xlfn.XLOOKUP(1,(Exp_Combos[Elements at Risk]=Final_VEValues[[#This Row],[Elements at Risk]])*(Exp_Combos[EP - Coastal Inundation]=Final_VEValues[[#This Row],[EP - Coastal Inundation]]),Exp_Combos[E2050 - Coastal Inundation],"",0)</f>
        <v>M</v>
      </c>
      <c r="S23" t="str" cm="1">
        <f t="array" ref="S23">_xlfn.XLOOKUP(1,(Exp_Combos[Elements at Risk]=Final_VEValues[[#This Row],[Elements at Risk]])*(Exp_Combos[EP - Extreme Rainfall]=Final_VEValues[[#This Row],[EP - Extreme Rainfall]]),Exp_Combos[E2050 - Extreme Rainfall],"",0)</f>
        <v>H</v>
      </c>
      <c r="T23" t="str" cm="1">
        <f t="array" ref="T23">_xlfn.XLOOKUP(1,(Exp_Combos[Elements at Risk]=Final_VEValues[[#This Row],[Elements at Risk]])*(Exp_Combos[EP - Tropical Cyclone]=Final_VEValues[[#This Row],[EP - Tropical Cyclone]]),Exp_Combos[E2050 - Tropical Cyclone],"",0)</f>
        <v>E</v>
      </c>
      <c r="U23" t="str" cm="1">
        <f t="array" ref="U23">_xlfn.XLOOKUP(1,(Exp_Combos[Elements at Risk]=Final_VEValues[[#This Row],[Elements at Risk]])*(Exp_Combos[EP - Drought]=Final_VEValues[[#This Row],[EP - Drought]]),Exp_Combos[E2050 - Drought],"",0)</f>
        <v>L</v>
      </c>
      <c r="V23" t="str" cm="1">
        <f t="array" ref="V23">_xlfn.XLOOKUP(1,(Exp_Combos[Elements at Risk]=Final_VEValues[[#This Row],[Elements at Risk]])*(Exp_Combos[EP - Marine Heat Waves]=Final_VEValues[[#This Row],[EP - Marine Heat Waves]]),Exp_Combos[E2050 - Marine Heat Waves],"",0)</f>
        <v>M</v>
      </c>
      <c r="W23" t="str" cm="1">
        <f t="array" ref="W23">_xlfn.XLOOKUP(1,(Exp_Combos[Elements at Risk]=Final_VEValues[[#This Row],[Elements at Risk]])*(Exp_Combos[EP - Ocean Acidification]=Final_VEValues[[#This Row],[EP - Ocean Acidification]]),Exp_Combos[E2050 - Ocean Acidification],"",0)</f>
        <v>L</v>
      </c>
      <c r="X23" s="19" t="str" cm="1">
        <f t="array" ref="X23">_xlfn.XLOOKUP(1,(Exp_Combos[Elements at Risk]=Final_VEValues[[#This Row],[Elements at Risk]])*(Exp_Combos[EP - Extreme Temperature]=Final_VEValues[[#This Row],[EP - Extreme Temperature]]),Exp_Combos[E2050 - Extreme Temperature],"",0)</f>
        <v>M</v>
      </c>
      <c r="Y23" t="str" cm="1">
        <f t="array" ref="Y23">_xlfn.XLOOKUP(1,(Exp_Combos[Elements at Risk]=Final_VEValues[[#This Row],[Elements at Risk]])*(Exp_Combos[EP - Coastal Inundation]=Final_VEValues[[#This Row],[EP - Coastal Inundation]]),Exp_Combos[E2100 - Coastal Inundation],"",0)</f>
        <v>M</v>
      </c>
      <c r="Z23" t="str" cm="1">
        <f t="array" ref="Z23">_xlfn.XLOOKUP(1,(Exp_Combos[Elements at Risk]=Final_VEValues[[#This Row],[Elements at Risk]])*(Exp_Combos[EP - Extreme Rainfall]=Final_VEValues[[#This Row],[EP - Extreme Rainfall]]),Exp_Combos[E2100 - Extreme Rainfall],"",0)</f>
        <v>H</v>
      </c>
      <c r="AA23" t="str" cm="1">
        <f t="array" ref="AA23">_xlfn.XLOOKUP(1,(Exp_Combos[Elements at Risk]=Final_VEValues[[#This Row],[Elements at Risk]])*(Exp_Combos[EP - Tropical Cyclone]=Final_VEValues[[#This Row],[EP - Tropical Cyclone]]),Exp_Combos[E2100 - Tropical Cyclone],"",0)</f>
        <v>E</v>
      </c>
      <c r="AB23" t="str" cm="1">
        <f t="array" ref="AB23">_xlfn.XLOOKUP(1,(Exp_Combos[Elements at Risk]=Final_VEValues[[#This Row],[Elements at Risk]])*(Exp_Combos[EP - Drought]=Final_VEValues[[#This Row],[EP - Drought]]),Exp_Combos[E2100 - Drought],"",0)</f>
        <v>L</v>
      </c>
      <c r="AC23" t="str" cm="1">
        <f t="array" ref="AC23">_xlfn.XLOOKUP(1,(Exp_Combos[Elements at Risk]=Final_VEValues[[#This Row],[Elements at Risk]])*(Exp_Combos[EP - Marine Heat Waves]=Final_VEValues[[#This Row],[EP - Marine Heat Waves]]),Exp_Combos[E2100 - Marine Heat Waves],"",0)</f>
        <v>M</v>
      </c>
      <c r="AD23" t="str" cm="1">
        <f t="array" ref="AD23">_xlfn.XLOOKUP(1,(Exp_Combos[Elements at Risk]=Final_VEValues[[#This Row],[Elements at Risk]])*(Exp_Combos[EP - Ocean Acidification]=Final_VEValues[[#This Row],[EP - Ocean Acidification]]),Exp_Combos[E2100 - Ocean Acidification],"",0)</f>
        <v>M</v>
      </c>
      <c r="AE23" s="27" t="str" cm="1">
        <f t="array" ref="AE23">_xlfn.XLOOKUP(1,(Exp_Combos[Elements at Risk]=Final_VEValues[[#This Row],[Elements at Risk]])*(Exp_Combos[EP - Extreme Temperature]=Final_VEValues[[#This Row],[EP - Extreme Temperature]]),Exp_Combos[E2100 - Extreme Temperature],"",0)</f>
        <v>M</v>
      </c>
    </row>
    <row r="24" spans="1:31" ht="18" x14ac:dyDescent="0.35">
      <c r="A24" s="351">
        <v>21</v>
      </c>
      <c r="B24" s="79" t="s">
        <v>46</v>
      </c>
      <c r="C24" s="93" t="s">
        <v>221</v>
      </c>
      <c r="D24"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M</v>
      </c>
      <c r="E24"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M</v>
      </c>
      <c r="F24"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24"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M</v>
      </c>
      <c r="H24"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24"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24"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M</v>
      </c>
      <c r="K24" t="str" cm="1">
        <f t="array" ref="K24">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M</v>
      </c>
      <c r="L24" t="str" cm="1">
        <f t="array" ref="L24">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L</v>
      </c>
      <c r="M24" t="str" cm="1">
        <f t="array" ref="M24">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M</v>
      </c>
      <c r="N24" t="str" cm="1">
        <f t="array" ref="N24">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M</v>
      </c>
      <c r="O24" t="str" cm="1">
        <f t="array" ref="O24">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24" t="str" cm="1">
        <f t="array" ref="P24">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N/A</v>
      </c>
      <c r="Q24" s="19" t="str" cm="1">
        <f t="array" ref="Q24">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24" t="str" cm="1">
        <f t="array" ref="R24">_xlfn.XLOOKUP(1,(Exp_Combos[Elements at Risk]=Final_VEValues[[#This Row],[Elements at Risk]])*(Exp_Combos[EP - Coastal Inundation]=Final_VEValues[[#This Row],[EP - Coastal Inundation]]),Exp_Combos[E2050 - Coastal Inundation],"",0)</f>
        <v>H</v>
      </c>
      <c r="S24" t="str" cm="1">
        <f t="array" ref="S24">_xlfn.XLOOKUP(1,(Exp_Combos[Elements at Risk]=Final_VEValues[[#This Row],[Elements at Risk]])*(Exp_Combos[EP - Extreme Rainfall]=Final_VEValues[[#This Row],[EP - Extreme Rainfall]]),Exp_Combos[E2050 - Extreme Rainfall],"",0)</f>
        <v>M</v>
      </c>
      <c r="T24" t="str" cm="1">
        <f t="array" ref="T24">_xlfn.XLOOKUP(1,(Exp_Combos[Elements at Risk]=Final_VEValues[[#This Row],[Elements at Risk]])*(Exp_Combos[EP - Tropical Cyclone]=Final_VEValues[[#This Row],[EP - Tropical Cyclone]]),Exp_Combos[E2050 - Tropical Cyclone],"",0)</f>
        <v>H</v>
      </c>
      <c r="U24" t="str" cm="1">
        <f t="array" ref="U24">_xlfn.XLOOKUP(1,(Exp_Combos[Elements at Risk]=Final_VEValues[[#This Row],[Elements at Risk]])*(Exp_Combos[EP - Drought]=Final_VEValues[[#This Row],[EP - Drought]]),Exp_Combos[E2050 - Drought],"",0)</f>
        <v>H</v>
      </c>
      <c r="V24" t="str" cm="1">
        <f t="array" ref="V24">_xlfn.XLOOKUP(1,(Exp_Combos[Elements at Risk]=Final_VEValues[[#This Row],[Elements at Risk]])*(Exp_Combos[EP - Marine Heat Waves]=Final_VEValues[[#This Row],[EP - Marine Heat Waves]]),Exp_Combos[E2050 - Marine Heat Waves],"",0)</f>
        <v>N/A</v>
      </c>
      <c r="W24" t="str" cm="1">
        <f t="array" ref="W24">_xlfn.XLOOKUP(1,(Exp_Combos[Elements at Risk]=Final_VEValues[[#This Row],[Elements at Risk]])*(Exp_Combos[EP - Ocean Acidification]=Final_VEValues[[#This Row],[EP - Ocean Acidification]]),Exp_Combos[E2050 - Ocean Acidification],"",0)</f>
        <v>N/A</v>
      </c>
      <c r="X24" s="19" t="str" cm="1">
        <f t="array" ref="X24">_xlfn.XLOOKUP(1,(Exp_Combos[Elements at Risk]=Final_VEValues[[#This Row],[Elements at Risk]])*(Exp_Combos[EP - Extreme Temperature]=Final_VEValues[[#This Row],[EP - Extreme Temperature]]),Exp_Combos[E2050 - Extreme Temperature],"",0)</f>
        <v>H</v>
      </c>
      <c r="Y24" t="str" cm="1">
        <f t="array" ref="Y24">_xlfn.XLOOKUP(1,(Exp_Combos[Elements at Risk]=Final_VEValues[[#This Row],[Elements at Risk]])*(Exp_Combos[EP - Coastal Inundation]=Final_VEValues[[#This Row],[EP - Coastal Inundation]]),Exp_Combos[E2100 - Coastal Inundation],"",0)</f>
        <v>H</v>
      </c>
      <c r="Z24" t="str" cm="1">
        <f t="array" ref="Z24">_xlfn.XLOOKUP(1,(Exp_Combos[Elements at Risk]=Final_VEValues[[#This Row],[Elements at Risk]])*(Exp_Combos[EP - Extreme Rainfall]=Final_VEValues[[#This Row],[EP - Extreme Rainfall]]),Exp_Combos[E2100 - Extreme Rainfall],"",0)</f>
        <v>H</v>
      </c>
      <c r="AA24" t="str" cm="1">
        <f t="array" ref="AA24">_xlfn.XLOOKUP(1,(Exp_Combos[Elements at Risk]=Final_VEValues[[#This Row],[Elements at Risk]])*(Exp_Combos[EP - Tropical Cyclone]=Final_VEValues[[#This Row],[EP - Tropical Cyclone]]),Exp_Combos[E2100 - Tropical Cyclone],"",0)</f>
        <v>E</v>
      </c>
      <c r="AB24" t="str" cm="1">
        <f t="array" ref="AB24">_xlfn.XLOOKUP(1,(Exp_Combos[Elements at Risk]=Final_VEValues[[#This Row],[Elements at Risk]])*(Exp_Combos[EP - Drought]=Final_VEValues[[#This Row],[EP - Drought]]),Exp_Combos[E2100 - Drought],"",0)</f>
        <v>E</v>
      </c>
      <c r="AC24" t="str" cm="1">
        <f t="array" ref="AC24">_xlfn.XLOOKUP(1,(Exp_Combos[Elements at Risk]=Final_VEValues[[#This Row],[Elements at Risk]])*(Exp_Combos[EP - Marine Heat Waves]=Final_VEValues[[#This Row],[EP - Marine Heat Waves]]),Exp_Combos[E2100 - Marine Heat Waves],"",0)</f>
        <v>N/A</v>
      </c>
      <c r="AD24" t="str" cm="1">
        <f t="array" ref="AD24">_xlfn.XLOOKUP(1,(Exp_Combos[Elements at Risk]=Final_VEValues[[#This Row],[Elements at Risk]])*(Exp_Combos[EP - Ocean Acidification]=Final_VEValues[[#This Row],[EP - Ocean Acidification]]),Exp_Combos[E2100 - Ocean Acidification],"",0)</f>
        <v>N/A</v>
      </c>
      <c r="AE24" s="27" t="str" cm="1">
        <f t="array" ref="AE24">_xlfn.XLOOKUP(1,(Exp_Combos[Elements at Risk]=Final_VEValues[[#This Row],[Elements at Risk]])*(Exp_Combos[EP - Extreme Temperature]=Final_VEValues[[#This Row],[EP - Extreme Temperature]]),Exp_Combos[E2100 - Extreme Temperature],"",0)</f>
        <v>E</v>
      </c>
    </row>
    <row r="25" spans="1:31" ht="18" x14ac:dyDescent="0.35">
      <c r="A25" s="350">
        <v>22</v>
      </c>
      <c r="B25" s="79" t="s">
        <v>46</v>
      </c>
      <c r="C25" s="93" t="s">
        <v>219</v>
      </c>
      <c r="D25" s="2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M</v>
      </c>
      <c r="E25"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H</v>
      </c>
      <c r="F25"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25"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M</v>
      </c>
      <c r="H25"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M</v>
      </c>
      <c r="I25"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L</v>
      </c>
      <c r="J25" s="19"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M</v>
      </c>
      <c r="K25" t="str" cm="1">
        <f t="array" ref="K25">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M</v>
      </c>
      <c r="L25" t="str" cm="1">
        <f t="array" ref="L25">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L</v>
      </c>
      <c r="M25" t="str" cm="1">
        <f t="array" ref="M25">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M</v>
      </c>
      <c r="N25" t="str" cm="1">
        <f t="array" ref="N25">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L</v>
      </c>
      <c r="O25" t="str" cm="1">
        <f t="array" ref="O25">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M</v>
      </c>
      <c r="P25" t="str" cm="1">
        <f t="array" ref="P25">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L</v>
      </c>
      <c r="Q25" s="19" t="str" cm="1">
        <f t="array" ref="Q25">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25" t="str" cm="1">
        <f t="array" ref="R25">_xlfn.XLOOKUP(1,(Exp_Combos[Elements at Risk]=Final_VEValues[[#This Row],[Elements at Risk]])*(Exp_Combos[EP - Coastal Inundation]=Final_VEValues[[#This Row],[EP - Coastal Inundation]]),Exp_Combos[E2050 - Coastal Inundation],"",0)</f>
        <v>H</v>
      </c>
      <c r="S25" t="str" cm="1">
        <f t="array" ref="S25">_xlfn.XLOOKUP(1,(Exp_Combos[Elements at Risk]=Final_VEValues[[#This Row],[Elements at Risk]])*(Exp_Combos[EP - Extreme Rainfall]=Final_VEValues[[#This Row],[EP - Extreme Rainfall]]),Exp_Combos[E2050 - Extreme Rainfall],"",0)</f>
        <v>M</v>
      </c>
      <c r="T25" t="str" cm="1">
        <f t="array" ref="T25">_xlfn.XLOOKUP(1,(Exp_Combos[Elements at Risk]=Final_VEValues[[#This Row],[Elements at Risk]])*(Exp_Combos[EP - Tropical Cyclone]=Final_VEValues[[#This Row],[EP - Tropical Cyclone]]),Exp_Combos[E2050 - Tropical Cyclone],"",0)</f>
        <v>H</v>
      </c>
      <c r="U25" t="str" cm="1">
        <f t="array" ref="U25">_xlfn.XLOOKUP(1,(Exp_Combos[Elements at Risk]=Final_VEValues[[#This Row],[Elements at Risk]])*(Exp_Combos[EP - Drought]=Final_VEValues[[#This Row],[EP - Drought]]),Exp_Combos[E2050 - Drought],"",0)</f>
        <v>L</v>
      </c>
      <c r="V25" t="str" cm="1">
        <f t="array" ref="V25">_xlfn.XLOOKUP(1,(Exp_Combos[Elements at Risk]=Final_VEValues[[#This Row],[Elements at Risk]])*(Exp_Combos[EP - Marine Heat Waves]=Final_VEValues[[#This Row],[EP - Marine Heat Waves]]),Exp_Combos[E2050 - Marine Heat Waves],"",0)</f>
        <v>H</v>
      </c>
      <c r="W25" t="str" cm="1">
        <f t="array" ref="W25">_xlfn.XLOOKUP(1,(Exp_Combos[Elements at Risk]=Final_VEValues[[#This Row],[Elements at Risk]])*(Exp_Combos[EP - Ocean Acidification]=Final_VEValues[[#This Row],[EP - Ocean Acidification]]),Exp_Combos[E2050 - Ocean Acidification],"",0)</f>
        <v>M</v>
      </c>
      <c r="X25" s="19" t="str" cm="1">
        <f t="array" ref="X25">_xlfn.XLOOKUP(1,(Exp_Combos[Elements at Risk]=Final_VEValues[[#This Row],[Elements at Risk]])*(Exp_Combos[EP - Extreme Temperature]=Final_VEValues[[#This Row],[EP - Extreme Temperature]]),Exp_Combos[E2050 - Extreme Temperature],"",0)</f>
        <v>H</v>
      </c>
      <c r="Y25" t="str" cm="1">
        <f t="array" ref="Y25">_xlfn.XLOOKUP(1,(Exp_Combos[Elements at Risk]=Final_VEValues[[#This Row],[Elements at Risk]])*(Exp_Combos[EP - Coastal Inundation]=Final_VEValues[[#This Row],[EP - Coastal Inundation]]),Exp_Combos[E2100 - Coastal Inundation],"",0)</f>
        <v>H</v>
      </c>
      <c r="Z25" t="str" cm="1">
        <f t="array" ref="Z25">_xlfn.XLOOKUP(1,(Exp_Combos[Elements at Risk]=Final_VEValues[[#This Row],[Elements at Risk]])*(Exp_Combos[EP - Extreme Rainfall]=Final_VEValues[[#This Row],[EP - Extreme Rainfall]]),Exp_Combos[E2100 - Extreme Rainfall],"",0)</f>
        <v>H</v>
      </c>
      <c r="AA25" t="str" cm="1">
        <f t="array" ref="AA25">_xlfn.XLOOKUP(1,(Exp_Combos[Elements at Risk]=Final_VEValues[[#This Row],[Elements at Risk]])*(Exp_Combos[EP - Tropical Cyclone]=Final_VEValues[[#This Row],[EP - Tropical Cyclone]]),Exp_Combos[E2100 - Tropical Cyclone],"",0)</f>
        <v>E</v>
      </c>
      <c r="AB25" t="str" cm="1">
        <f t="array" ref="AB25">_xlfn.XLOOKUP(1,(Exp_Combos[Elements at Risk]=Final_VEValues[[#This Row],[Elements at Risk]])*(Exp_Combos[EP - Drought]=Final_VEValues[[#This Row],[EP - Drought]]),Exp_Combos[E2100 - Drought],"",0)</f>
        <v>H</v>
      </c>
      <c r="AC25" t="str" cm="1">
        <f t="array" ref="AC25">_xlfn.XLOOKUP(1,(Exp_Combos[Elements at Risk]=Final_VEValues[[#This Row],[Elements at Risk]])*(Exp_Combos[EP - Marine Heat Waves]=Final_VEValues[[#This Row],[EP - Marine Heat Waves]]),Exp_Combos[E2100 - Marine Heat Waves],"",0)</f>
        <v>E</v>
      </c>
      <c r="AD25" t="str" cm="1">
        <f t="array" ref="AD25">_xlfn.XLOOKUP(1,(Exp_Combos[Elements at Risk]=Final_VEValues[[#This Row],[Elements at Risk]])*(Exp_Combos[EP - Ocean Acidification]=Final_VEValues[[#This Row],[EP - Ocean Acidification]]),Exp_Combos[E2100 - Ocean Acidification],"",0)</f>
        <v>H</v>
      </c>
      <c r="AE25" s="27" t="str" cm="1">
        <f t="array" ref="AE25">_xlfn.XLOOKUP(1,(Exp_Combos[Elements at Risk]=Final_VEValues[[#This Row],[Elements at Risk]])*(Exp_Combos[EP - Extreme Temperature]=Final_VEValues[[#This Row],[EP - Extreme Temperature]]),Exp_Combos[E2100 - Extreme Temperature],"",0)</f>
        <v>E</v>
      </c>
    </row>
    <row r="26" spans="1:31" ht="18.5" thickBot="1" x14ac:dyDescent="0.4">
      <c r="A26" s="354">
        <v>23</v>
      </c>
      <c r="B26" s="355" t="s">
        <v>46</v>
      </c>
      <c r="C26" s="356" t="s">
        <v>217</v>
      </c>
      <c r="D26" s="103" t="str">
        <f>IF(_xlfn.XLOOKUP(Final_VEValues[[#This Row],[Elements at Risk]],'Response Form'!$C$127:$C$149,'Response Form'!$E$127:$E$149,"",0)="",_xlfn.XLOOKUP(Final_VEValues[[#This Row],[Elements at Risk]],Init_VEValues[Elements at Risk],Init_VEValues[V - Coastal Inundation],"",0),_xlfn.XLOOKUP(Final_VEValues[[#This Row],[Elements at Risk]],'Response Form'!$C$127:$C$149,'Response Form'!$E$127:$E$149,"",0))</f>
        <v>M</v>
      </c>
      <c r="E26" s="17" t="str">
        <f>IF(_xlfn.XLOOKUP(Final_VEValues[[#This Row],[Elements at Risk]],'Response Form'!$C$127:$C$149,'Response Form'!$G$127:$G$149,"",0)="",_xlfn.XLOOKUP(Final_VEValues[[#This Row],[Elements at Risk]],Init_VEValues[Elements at Risk],Init_VEValues[V - Extreme Rainfall],"",0),_xlfn.XLOOKUP(Final_VEValues[[#This Row],[Elements at Risk]],'Response Form'!$C$127:$C$149,'Response Form'!$G$127:$G$149,"",0))</f>
        <v>M</v>
      </c>
      <c r="F26" s="17" t="str">
        <f>IF(_xlfn.XLOOKUP(Final_VEValues[[#This Row],[Elements at Risk]],'Response Form'!$C$127:$C$149,'Response Form'!$I$127:$I$149,"",0)="",_xlfn.XLOOKUP(Final_VEValues[[#This Row],[Elements at Risk]],Init_VEValues[Elements at Risk],Init_VEValues[V - Tropical Cyclone],"",0),_xlfn.XLOOKUP(Final_VEValues[[#This Row],[Elements at Risk]],'Response Form'!$C$127:$C$149,'Response Form'!$I$127:$I$149,"",0))</f>
        <v>H</v>
      </c>
      <c r="G26" s="17" t="str">
        <f>IF(_xlfn.XLOOKUP(Final_VEValues[[#This Row],[Elements at Risk]],'Response Form'!$C$127:$C$149,'Response Form'!$K$127:$K$149,"",0)="",_xlfn.XLOOKUP(Final_VEValues[[#This Row],[Elements at Risk]],Init_VEValues[Elements at Risk],Init_VEValues[V - Drought],"",0),_xlfn.XLOOKUP(Final_VEValues[[#This Row],[Elements at Risk]],'Response Form'!$C$127:$C$149,'Response Form'!$K$127:$K$149,"",0))</f>
        <v>M</v>
      </c>
      <c r="H26" s="17" t="str">
        <f>IF(_xlfn.XLOOKUP(Final_VEValues[[#This Row],[Elements at Risk]],'Response Form'!$C$127:$C$149,'Response Form'!$M$127:$M$149,"",0)="",_xlfn.XLOOKUP(Final_VEValues[[#This Row],[Elements at Risk]],Init_VEValues[Elements at Risk],Init_VEValues[V - Marine Heat Waves],"",0),_xlfn.XLOOKUP(Final_VEValues[[#This Row],[Elements at Risk]],'Response Form'!$C$127:$C$149,'Response Form'!$M$127:$M$149,"",0))</f>
        <v>N/A</v>
      </c>
      <c r="I26" s="17" t="str">
        <f>IF(_xlfn.XLOOKUP(Final_VEValues[[#This Row],[Elements at Risk]],'Response Form'!$C$127:$C$149,'Response Form'!$O$127:$O$149,"",0)="",_xlfn.XLOOKUP(Final_VEValues[[#This Row],[Elements at Risk]],Init_VEValues[Elements at Risk],Init_VEValues[V - Ocean Acidification],"",0),_xlfn.XLOOKUP(Final_VEValues[[#This Row],[Elements at Risk]],'Response Form'!$C$127:$C$149,'Response Form'!$O$127:$O$149,"",0))</f>
        <v>N/A</v>
      </c>
      <c r="J26" s="97" t="str">
        <f>IF(_xlfn.XLOOKUP(Final_VEValues[[#This Row],[Elements at Risk]],'Response Form'!$C$127:$C$149,'Response Form'!$Q$127:$Q$149,"",0)="",_xlfn.XLOOKUP(Final_VEValues[[#This Row],[Elements at Risk]],Init_VEValues[Elements at Risk],Init_VEValues[V - Extreme Temperature],"",0),_xlfn.XLOOKUP(Final_VEValues[[#This Row],[Elements at Risk]],'Response Form'!$C$127:$C$149,'Response Form'!$Q$127:$Q$149,"",0))</f>
        <v>H</v>
      </c>
      <c r="K26" s="17" t="str" cm="1">
        <f t="array" ref="K26">IF(_xlfn.XLOOKUP(Final_VEValues[[#This Row],[Elements at Risk]:[Elements at Risk]],'Response Form'!$C$82:$C$104,'Response Form'!D$82:D$104,"",0)="",_xlfn.XLOOKUP(Final_VEValues[[#This Row],[Elements at Risk]:[Elements at Risk]],Init_VEValues[[Elements at Risk]:[Elements at Risk]],Init_VEValues[EP - Coastal Inundation],"",0),_xlfn.XLOOKUP(Final_VEValues[[#This Row],[Elements at Risk]:[Elements at Risk]],'Response Form'!$C$82:$C$104,'Response Form'!D$82:D$104,"",0))</f>
        <v>L</v>
      </c>
      <c r="L26" s="17" t="str" cm="1">
        <f t="array" ref="L26">IF(_xlfn.XLOOKUP(Final_VEValues[[#This Row],[Elements at Risk]:[Elements at Risk]],'Response Form'!$C$82:$C$104,'Response Form'!F$82:F$104,"",0)="",_xlfn.XLOOKUP(Final_VEValues[[#This Row],[Elements at Risk]:[Elements at Risk]],Init_VEValues[[Elements at Risk]:[Elements at Risk]],Init_VEValues[EP - Extreme Rainfall],"",0),_xlfn.XLOOKUP(Final_VEValues[[#This Row],[Elements at Risk]:[Elements at Risk]],'Response Form'!$C$82:$C$104,'Response Form'!F$82:F$104,"",0))</f>
        <v>H</v>
      </c>
      <c r="M26" s="17" t="str" cm="1">
        <f t="array" ref="M26">IF(_xlfn.XLOOKUP(Final_VEValues[[#This Row],[Elements at Risk]:[Elements at Risk]],'Response Form'!$C$82:$C$104,'Response Form'!H$82:H$104,"",0)="",_xlfn.XLOOKUP(Final_VEValues[[#This Row],[Elements at Risk]:[Elements at Risk]],Init_VEValues[[Elements at Risk]:[Elements at Risk]],Init_VEValues[EP - Tropical Cyclone],"",0),_xlfn.XLOOKUP(Final_VEValues[[#This Row],[Elements at Risk]:[Elements at Risk]],'Response Form'!$C$82:$C$104,'Response Form'!H$82:H$104,"",0))</f>
        <v>M</v>
      </c>
      <c r="N26" s="17" t="str" cm="1">
        <f t="array" ref="N26">IF(_xlfn.XLOOKUP(Final_VEValues[[#This Row],[Elements at Risk]:[Elements at Risk]],'Response Form'!$C$82:$C$104,'Response Form'!J$82:J$104,"",0)="",_xlfn.XLOOKUP(Final_VEValues[[#This Row],[Elements at Risk]:[Elements at Risk]],Init_VEValues[[Elements at Risk]:[Elements at Risk]],Init_VEValues[EP - Drought],"",0),_xlfn.XLOOKUP(Final_VEValues[[#This Row],[Elements at Risk]:[Elements at Risk]],'Response Form'!$C$82:$C$104,'Response Form'!J$82:J$104,"",0))</f>
        <v>M</v>
      </c>
      <c r="O26" s="17" t="str" cm="1">
        <f t="array" ref="O26">IF(_xlfn.XLOOKUP(Final_VEValues[[#This Row],[Elements at Risk]:[Elements at Risk]],'Response Form'!$C$82:$C$104,'Response Form'!L$82:L$104,"",0)="",_xlfn.XLOOKUP(Final_VEValues[[#This Row],[Elements at Risk]:[Elements at Risk]],Init_VEValues[[Elements at Risk]:[Elements at Risk]],Init_VEValues[EP - Marine Heat Waves],"",0),_xlfn.XLOOKUP(Final_VEValues[[#This Row],[Elements at Risk]:[Elements at Risk]],'Response Form'!$C$82:$C$104,'Response Form'!L$82:L$104,"",0))</f>
        <v>N/A</v>
      </c>
      <c r="P26" s="17" t="str" cm="1">
        <f t="array" ref="P26">IF(_xlfn.XLOOKUP(Final_VEValues[[#This Row],[Elements at Risk]:[Elements at Risk]],'Response Form'!$C$82:$C$104,'Response Form'!N$82:N$104,"",0)="",_xlfn.XLOOKUP(Final_VEValues[[#This Row],[Elements at Risk]:[Elements at Risk]],Init_VEValues[[Elements at Risk]:[Elements at Risk]],Init_VEValues[EP - Ocean Acidification],"",0),_xlfn.XLOOKUP(Final_VEValues[[#This Row],[Elements at Risk]:[Elements at Risk]],'Response Form'!$C$82:$C$104,'Response Form'!N$82:N$104,"",0))</f>
        <v>L</v>
      </c>
      <c r="Q26" s="97" t="str" cm="1">
        <f t="array" ref="Q26">IF(_xlfn.XLOOKUP(Final_VEValues[[#This Row],[Elements at Risk]:[Elements at Risk]],'Response Form'!$C$82:$C$104,'Response Form'!P$82:P$104,"",0)="",_xlfn.XLOOKUP(Final_VEValues[[#This Row],[Elements at Risk]:[Elements at Risk]],Init_VEValues[[Elements at Risk]:[Elements at Risk]],Init_VEValues[EP - Extreme Temperature],"",0),_xlfn.XLOOKUP(Final_VEValues[[#This Row],[Elements at Risk]:[Elements at Risk]],'Response Form'!$C$82:$C$104,'Response Form'!P$82:P$104,"",0))</f>
        <v>M</v>
      </c>
      <c r="R26" s="10" t="str" cm="1">
        <f t="array" ref="R26">_xlfn.XLOOKUP(1,(Exp_Combos[Elements at Risk]=Final_VEValues[[#This Row],[Elements at Risk]])*(Exp_Combos[EP - Coastal Inundation]=Final_VEValues[[#This Row],[EP - Coastal Inundation]]),Exp_Combos[E2050 - Coastal Inundation],"",0)</f>
        <v>H</v>
      </c>
      <c r="S26" s="10" t="str" cm="1">
        <f t="array" ref="S26">_xlfn.XLOOKUP(1,(Exp_Combos[Elements at Risk]=Final_VEValues[[#This Row],[Elements at Risk]])*(Exp_Combos[EP - Extreme Rainfall]=Final_VEValues[[#This Row],[EP - Extreme Rainfall]]),Exp_Combos[E2050 - Extreme Rainfall],"",0)</f>
        <v>H</v>
      </c>
      <c r="T26" s="10" t="str" cm="1">
        <f t="array" ref="T26">_xlfn.XLOOKUP(1,(Exp_Combos[Elements at Risk]=Final_VEValues[[#This Row],[Elements at Risk]])*(Exp_Combos[EP - Tropical Cyclone]=Final_VEValues[[#This Row],[EP - Tropical Cyclone]]),Exp_Combos[E2050 - Tropical Cyclone],"",0)</f>
        <v>H</v>
      </c>
      <c r="U26" s="10" t="str" cm="1">
        <f t="array" ref="U26">_xlfn.XLOOKUP(1,(Exp_Combos[Elements at Risk]=Final_VEValues[[#This Row],[Elements at Risk]])*(Exp_Combos[EP - Drought]=Final_VEValues[[#This Row],[EP - Drought]]),Exp_Combos[E2050 - Drought],"",0)</f>
        <v>H</v>
      </c>
      <c r="V26" s="10" t="str" cm="1">
        <f t="array" ref="V26">_xlfn.XLOOKUP(1,(Exp_Combos[Elements at Risk]=Final_VEValues[[#This Row],[Elements at Risk]])*(Exp_Combos[EP - Marine Heat Waves]=Final_VEValues[[#This Row],[EP - Marine Heat Waves]]),Exp_Combos[E2050 - Marine Heat Waves],"",0)</f>
        <v>N/A</v>
      </c>
      <c r="W26" s="10" t="str" cm="1">
        <f t="array" ref="W26">_xlfn.XLOOKUP(1,(Exp_Combos[Elements at Risk]=Final_VEValues[[#This Row],[Elements at Risk]])*(Exp_Combos[EP - Ocean Acidification]=Final_VEValues[[#This Row],[EP - Ocean Acidification]]),Exp_Combos[E2050 - Ocean Acidification],"",0)</f>
        <v>H</v>
      </c>
      <c r="X26" s="345" t="str" cm="1">
        <f t="array" ref="X26">_xlfn.XLOOKUP(1,(Exp_Combos[Elements at Risk]=Final_VEValues[[#This Row],[Elements at Risk]])*(Exp_Combos[EP - Extreme Temperature]=Final_VEValues[[#This Row],[EP - Extreme Temperature]]),Exp_Combos[E2050 - Extreme Temperature],"",0)</f>
        <v>H</v>
      </c>
      <c r="Y26" s="10" t="str" cm="1">
        <f t="array" ref="Y26">_xlfn.XLOOKUP(1,(Exp_Combos[Elements at Risk]=Final_VEValues[[#This Row],[Elements at Risk]])*(Exp_Combos[EP - Coastal Inundation]=Final_VEValues[[#This Row],[EP - Coastal Inundation]]),Exp_Combos[E2100 - Coastal Inundation],"",0)</f>
        <v>H</v>
      </c>
      <c r="Z26" s="10" t="str" cm="1">
        <f t="array" ref="Z26">_xlfn.XLOOKUP(1,(Exp_Combos[Elements at Risk]=Final_VEValues[[#This Row],[Elements at Risk]])*(Exp_Combos[EP - Extreme Rainfall]=Final_VEValues[[#This Row],[EP - Extreme Rainfall]]),Exp_Combos[E2100 - Extreme Rainfall],"",0)</f>
        <v>H</v>
      </c>
      <c r="AA26" s="10" t="str" cm="1">
        <f t="array" ref="AA26">_xlfn.XLOOKUP(1,(Exp_Combos[Elements at Risk]=Final_VEValues[[#This Row],[Elements at Risk]])*(Exp_Combos[EP - Tropical Cyclone]=Final_VEValues[[#This Row],[EP - Tropical Cyclone]]),Exp_Combos[E2100 - Tropical Cyclone],"",0)</f>
        <v>E</v>
      </c>
      <c r="AB26" s="10" t="str" cm="1">
        <f t="array" ref="AB26">_xlfn.XLOOKUP(1,(Exp_Combos[Elements at Risk]=Final_VEValues[[#This Row],[Elements at Risk]])*(Exp_Combos[EP - Drought]=Final_VEValues[[#This Row],[EP - Drought]]),Exp_Combos[E2100 - Drought],"",0)</f>
        <v>H</v>
      </c>
      <c r="AC26" s="10" t="str" cm="1">
        <f t="array" ref="AC26">_xlfn.XLOOKUP(1,(Exp_Combos[Elements at Risk]=Final_VEValues[[#This Row],[Elements at Risk]])*(Exp_Combos[EP - Marine Heat Waves]=Final_VEValues[[#This Row],[EP - Marine Heat Waves]]),Exp_Combos[E2100 - Marine Heat Waves],"",0)</f>
        <v>N/A</v>
      </c>
      <c r="AD26" s="10" t="str" cm="1">
        <f t="array" ref="AD26">_xlfn.XLOOKUP(1,(Exp_Combos[Elements at Risk]=Final_VEValues[[#This Row],[Elements at Risk]])*(Exp_Combos[EP - Ocean Acidification]=Final_VEValues[[#This Row],[EP - Ocean Acidification]]),Exp_Combos[E2100 - Ocean Acidification],"",0)</f>
        <v>H</v>
      </c>
      <c r="AE26" s="12" t="str" cm="1">
        <f t="array" ref="AE26">_xlfn.XLOOKUP(1,(Exp_Combos[Elements at Risk]=Final_VEValues[[#This Row],[Elements at Risk]])*(Exp_Combos[EP - Extreme Temperature]=Final_VEValues[[#This Row],[EP - Extreme Temperature]]),Exp_Combos[E2100 - Extreme Temperature],"",0)</f>
        <v>E</v>
      </c>
    </row>
    <row r="28" spans="1:31" s="117" customFormat="1" ht="18" x14ac:dyDescent="0.35">
      <c r="A28" s="360" t="s">
        <v>519</v>
      </c>
    </row>
    <row r="29" spans="1:31" ht="20" x14ac:dyDescent="0.35">
      <c r="A29" s="357" t="s">
        <v>84</v>
      </c>
      <c r="B29" s="61"/>
      <c r="C29" s="61"/>
      <c r="D29" s="568" t="s">
        <v>85</v>
      </c>
      <c r="E29" s="568"/>
      <c r="F29" s="568"/>
      <c r="G29" s="568"/>
      <c r="H29" s="568"/>
      <c r="I29" s="568"/>
      <c r="J29" s="568"/>
      <c r="K29" s="569" t="s">
        <v>86</v>
      </c>
      <c r="L29" s="569"/>
      <c r="M29" s="569"/>
      <c r="N29" s="569"/>
      <c r="O29" s="569"/>
      <c r="P29" s="569"/>
      <c r="Q29" s="569"/>
      <c r="R29" s="569" t="s">
        <v>87</v>
      </c>
      <c r="S29" s="569"/>
      <c r="T29" s="569"/>
      <c r="U29" s="569"/>
      <c r="V29" s="569"/>
      <c r="W29" s="569"/>
      <c r="X29" s="569"/>
      <c r="Y29" s="569" t="s">
        <v>88</v>
      </c>
      <c r="Z29" s="569"/>
      <c r="AA29" s="569"/>
      <c r="AB29" s="569"/>
      <c r="AC29" s="569"/>
      <c r="AD29" s="569"/>
      <c r="AE29" s="569"/>
    </row>
    <row r="30" spans="1:31" ht="18.5" thickBot="1" x14ac:dyDescent="0.4">
      <c r="A30" s="346" t="s">
        <v>516</v>
      </c>
      <c r="B30" s="80" t="s">
        <v>89</v>
      </c>
      <c r="C30" s="80" t="s">
        <v>90</v>
      </c>
      <c r="D30" s="81" t="s">
        <v>91</v>
      </c>
      <c r="E30" s="81" t="s">
        <v>92</v>
      </c>
      <c r="F30" s="81" t="s">
        <v>93</v>
      </c>
      <c r="G30" s="81" t="s">
        <v>94</v>
      </c>
      <c r="H30" s="81" t="s">
        <v>450</v>
      </c>
      <c r="I30" s="81" t="s">
        <v>95</v>
      </c>
      <c r="J30" s="81" t="s">
        <v>441</v>
      </c>
      <c r="K30" s="81" t="s">
        <v>96</v>
      </c>
      <c r="L30" s="81" t="s">
        <v>97</v>
      </c>
      <c r="M30" s="81" t="s">
        <v>98</v>
      </c>
      <c r="N30" s="81" t="s">
        <v>99</v>
      </c>
      <c r="O30" s="81" t="s">
        <v>451</v>
      </c>
      <c r="P30" s="81" t="s">
        <v>100</v>
      </c>
      <c r="Q30" s="81" t="s">
        <v>452</v>
      </c>
      <c r="R30" s="81" t="s">
        <v>101</v>
      </c>
      <c r="S30" s="81" t="s">
        <v>102</v>
      </c>
      <c r="T30" s="81" t="s">
        <v>103</v>
      </c>
      <c r="U30" s="81" t="s">
        <v>104</v>
      </c>
      <c r="V30" s="81" t="s">
        <v>453</v>
      </c>
      <c r="W30" s="81" t="s">
        <v>105</v>
      </c>
      <c r="X30" s="81" t="s">
        <v>454</v>
      </c>
      <c r="Y30" s="81" t="s">
        <v>106</v>
      </c>
      <c r="Z30" s="81" t="s">
        <v>107</v>
      </c>
      <c r="AA30" s="81" t="s">
        <v>108</v>
      </c>
      <c r="AB30" s="81" t="s">
        <v>109</v>
      </c>
      <c r="AC30" s="81" t="s">
        <v>455</v>
      </c>
      <c r="AD30" s="81" t="s">
        <v>110</v>
      </c>
      <c r="AE30" s="81" t="s">
        <v>456</v>
      </c>
    </row>
    <row r="31" spans="1:31" ht="18" x14ac:dyDescent="0.35">
      <c r="A31" s="349">
        <v>1</v>
      </c>
      <c r="B31" s="352" t="s">
        <v>111</v>
      </c>
      <c r="C31" s="353" t="s">
        <v>112</v>
      </c>
      <c r="D31" s="338" t="s">
        <v>113</v>
      </c>
      <c r="E31" s="100" t="s">
        <v>114</v>
      </c>
      <c r="F31" s="100" t="s">
        <v>113</v>
      </c>
      <c r="G31" s="100" t="s">
        <v>115</v>
      </c>
      <c r="H31" s="100" t="s">
        <v>113</v>
      </c>
      <c r="I31" s="100" t="s">
        <v>113</v>
      </c>
      <c r="J31" s="340" t="s">
        <v>114</v>
      </c>
      <c r="K31" s="338" t="s">
        <v>116</v>
      </c>
      <c r="L31" s="100" t="s">
        <v>115</v>
      </c>
      <c r="M31" s="100" t="s">
        <v>114</v>
      </c>
      <c r="N31" s="100" t="s">
        <v>115</v>
      </c>
      <c r="O31" s="100" t="s">
        <v>114</v>
      </c>
      <c r="P31" s="100" t="s">
        <v>114</v>
      </c>
      <c r="Q31" s="339" t="s">
        <v>114</v>
      </c>
      <c r="R31" s="338" t="s">
        <v>114</v>
      </c>
      <c r="S31" s="100" t="s">
        <v>115</v>
      </c>
      <c r="T31" s="100" t="s">
        <v>113</v>
      </c>
      <c r="U31" s="100" t="s">
        <v>115</v>
      </c>
      <c r="V31" s="100" t="s">
        <v>113</v>
      </c>
      <c r="W31" s="100" t="s">
        <v>114</v>
      </c>
      <c r="X31" s="339" t="s">
        <v>113</v>
      </c>
      <c r="Y31" s="338" t="s">
        <v>113</v>
      </c>
      <c r="Z31" s="100" t="s">
        <v>116</v>
      </c>
      <c r="AA31" s="100" t="s">
        <v>113</v>
      </c>
      <c r="AB31" s="100" t="s">
        <v>115</v>
      </c>
      <c r="AC31" s="100" t="s">
        <v>113</v>
      </c>
      <c r="AD31" s="100" t="s">
        <v>113</v>
      </c>
      <c r="AE31" s="340" t="s">
        <v>113</v>
      </c>
    </row>
    <row r="32" spans="1:31" ht="18" x14ac:dyDescent="0.35">
      <c r="A32" s="350">
        <v>2</v>
      </c>
      <c r="B32" s="75" t="s">
        <v>111</v>
      </c>
      <c r="C32" s="93" t="s">
        <v>117</v>
      </c>
      <c r="D32" s="23" t="s">
        <v>115</v>
      </c>
      <c r="E32" t="s">
        <v>113</v>
      </c>
      <c r="F32" t="s">
        <v>113</v>
      </c>
      <c r="G32" t="s">
        <v>113</v>
      </c>
      <c r="H32" t="s">
        <v>118</v>
      </c>
      <c r="I32" t="s">
        <v>118</v>
      </c>
      <c r="J32" s="27" t="s">
        <v>114</v>
      </c>
      <c r="K32" s="23" t="s">
        <v>115</v>
      </c>
      <c r="L32" t="s">
        <v>116</v>
      </c>
      <c r="M32" t="s">
        <v>114</v>
      </c>
      <c r="N32" t="s">
        <v>115</v>
      </c>
      <c r="O32" t="s">
        <v>118</v>
      </c>
      <c r="P32" t="s">
        <v>118</v>
      </c>
      <c r="Q32" s="19" t="s">
        <v>114</v>
      </c>
      <c r="R32" s="23" t="s">
        <v>116</v>
      </c>
      <c r="S32" t="s">
        <v>114</v>
      </c>
      <c r="T32" t="s">
        <v>113</v>
      </c>
      <c r="U32" t="s">
        <v>116</v>
      </c>
      <c r="V32" t="s">
        <v>118</v>
      </c>
      <c r="W32" t="s">
        <v>118</v>
      </c>
      <c r="X32" s="19" t="s">
        <v>113</v>
      </c>
      <c r="Y32" s="23" t="s">
        <v>114</v>
      </c>
      <c r="Z32" t="s">
        <v>113</v>
      </c>
      <c r="AA32" t="s">
        <v>113</v>
      </c>
      <c r="AB32" t="s">
        <v>113</v>
      </c>
      <c r="AC32" t="s">
        <v>118</v>
      </c>
      <c r="AD32" t="s">
        <v>118</v>
      </c>
      <c r="AE32" s="27" t="s">
        <v>113</v>
      </c>
    </row>
    <row r="33" spans="1:31" ht="18" x14ac:dyDescent="0.35">
      <c r="A33" s="351">
        <v>3</v>
      </c>
      <c r="B33" s="96" t="s">
        <v>111</v>
      </c>
      <c r="C33" s="74" t="s">
        <v>119</v>
      </c>
      <c r="D33" s="103" t="s">
        <v>114</v>
      </c>
      <c r="E33" s="17" t="s">
        <v>113</v>
      </c>
      <c r="F33" s="17" t="s">
        <v>113</v>
      </c>
      <c r="G33" s="17" t="s">
        <v>114</v>
      </c>
      <c r="H33" s="17" t="s">
        <v>118</v>
      </c>
      <c r="I33" s="17" t="s">
        <v>118</v>
      </c>
      <c r="J33" s="341" t="s">
        <v>114</v>
      </c>
      <c r="K33" s="103" t="s">
        <v>115</v>
      </c>
      <c r="L33" s="17" t="s">
        <v>116</v>
      </c>
      <c r="M33" s="17" t="s">
        <v>114</v>
      </c>
      <c r="N33" s="17" t="s">
        <v>116</v>
      </c>
      <c r="O33" s="17" t="s">
        <v>118</v>
      </c>
      <c r="P33" s="17" t="s">
        <v>118</v>
      </c>
      <c r="Q33" s="97" t="s">
        <v>114</v>
      </c>
      <c r="R33" s="103" t="s">
        <v>114</v>
      </c>
      <c r="S33" s="17" t="s">
        <v>114</v>
      </c>
      <c r="T33" s="17" t="s">
        <v>113</v>
      </c>
      <c r="U33" s="17" t="s">
        <v>114</v>
      </c>
      <c r="V33" s="17" t="s">
        <v>118</v>
      </c>
      <c r="W33" s="17" t="s">
        <v>118</v>
      </c>
      <c r="X33" s="97" t="s">
        <v>113</v>
      </c>
      <c r="Y33" s="103" t="s">
        <v>114</v>
      </c>
      <c r="Z33" s="17" t="s">
        <v>114</v>
      </c>
      <c r="AA33" s="17" t="s">
        <v>113</v>
      </c>
      <c r="AB33" s="17" t="s">
        <v>113</v>
      </c>
      <c r="AC33" s="17" t="s">
        <v>118</v>
      </c>
      <c r="AD33" s="17" t="s">
        <v>118</v>
      </c>
      <c r="AE33" s="341" t="s">
        <v>113</v>
      </c>
    </row>
    <row r="34" spans="1:31" ht="18" x14ac:dyDescent="0.35">
      <c r="A34" s="350">
        <v>4</v>
      </c>
      <c r="B34" s="79" t="s">
        <v>120</v>
      </c>
      <c r="C34" s="93" t="s">
        <v>210</v>
      </c>
      <c r="D34" s="23" t="s">
        <v>114</v>
      </c>
      <c r="E34" t="s">
        <v>116</v>
      </c>
      <c r="F34" t="s">
        <v>114</v>
      </c>
      <c r="G34" t="s">
        <v>116</v>
      </c>
      <c r="H34" t="s">
        <v>118</v>
      </c>
      <c r="I34" t="s">
        <v>118</v>
      </c>
      <c r="J34" s="27" t="s">
        <v>116</v>
      </c>
      <c r="K34" s="23" t="s">
        <v>116</v>
      </c>
      <c r="L34" t="s">
        <v>116</v>
      </c>
      <c r="M34" t="s">
        <v>114</v>
      </c>
      <c r="N34" t="s">
        <v>116</v>
      </c>
      <c r="O34" t="s">
        <v>118</v>
      </c>
      <c r="P34" t="s">
        <v>118</v>
      </c>
      <c r="Q34" s="19" t="s">
        <v>116</v>
      </c>
      <c r="R34" s="23" t="s">
        <v>114</v>
      </c>
      <c r="S34" t="s">
        <v>116</v>
      </c>
      <c r="T34" t="s">
        <v>113</v>
      </c>
      <c r="U34" t="s">
        <v>114</v>
      </c>
      <c r="V34" t="s">
        <v>118</v>
      </c>
      <c r="W34" t="s">
        <v>118</v>
      </c>
      <c r="X34" s="19" t="s">
        <v>114</v>
      </c>
      <c r="Y34" s="23" t="s">
        <v>113</v>
      </c>
      <c r="Z34" t="s">
        <v>114</v>
      </c>
      <c r="AA34" t="s">
        <v>113</v>
      </c>
      <c r="AB34" t="s">
        <v>113</v>
      </c>
      <c r="AC34" t="s">
        <v>118</v>
      </c>
      <c r="AD34" t="s">
        <v>118</v>
      </c>
      <c r="AE34" s="27" t="s">
        <v>113</v>
      </c>
    </row>
    <row r="35" spans="1:31" ht="18" x14ac:dyDescent="0.35">
      <c r="A35" s="351">
        <v>5</v>
      </c>
      <c r="B35" s="79" t="s">
        <v>120</v>
      </c>
      <c r="C35" s="93" t="s">
        <v>218</v>
      </c>
      <c r="D35" s="23" t="s">
        <v>114</v>
      </c>
      <c r="E35" t="s">
        <v>116</v>
      </c>
      <c r="F35" t="s">
        <v>114</v>
      </c>
      <c r="G35" t="s">
        <v>116</v>
      </c>
      <c r="H35" t="s">
        <v>118</v>
      </c>
      <c r="I35" t="s">
        <v>115</v>
      </c>
      <c r="J35" s="27" t="s">
        <v>115</v>
      </c>
      <c r="K35" s="23" t="s">
        <v>116</v>
      </c>
      <c r="L35" t="s">
        <v>116</v>
      </c>
      <c r="M35" t="s">
        <v>114</v>
      </c>
      <c r="N35" t="s">
        <v>115</v>
      </c>
      <c r="O35" t="s">
        <v>118</v>
      </c>
      <c r="P35" t="s">
        <v>116</v>
      </c>
      <c r="Q35" s="19" t="s">
        <v>116</v>
      </c>
      <c r="R35" s="23" t="s">
        <v>114</v>
      </c>
      <c r="S35" t="s">
        <v>116</v>
      </c>
      <c r="T35" t="s">
        <v>113</v>
      </c>
      <c r="U35" t="s">
        <v>116</v>
      </c>
      <c r="V35" t="s">
        <v>118</v>
      </c>
      <c r="W35" t="s">
        <v>114</v>
      </c>
      <c r="X35" s="19" t="s">
        <v>114</v>
      </c>
      <c r="Y35" s="23" t="s">
        <v>113</v>
      </c>
      <c r="Z35" t="s">
        <v>114</v>
      </c>
      <c r="AA35" t="s">
        <v>113</v>
      </c>
      <c r="AB35" t="s">
        <v>116</v>
      </c>
      <c r="AC35" t="s">
        <v>118</v>
      </c>
      <c r="AD35" t="s">
        <v>114</v>
      </c>
      <c r="AE35" s="27" t="s">
        <v>114</v>
      </c>
    </row>
    <row r="36" spans="1:31" ht="18" x14ac:dyDescent="0.35">
      <c r="A36" s="350">
        <v>6</v>
      </c>
      <c r="B36" s="79" t="s">
        <v>120</v>
      </c>
      <c r="C36" s="93" t="s">
        <v>220</v>
      </c>
      <c r="D36" s="23" t="s">
        <v>114</v>
      </c>
      <c r="E36" t="s">
        <v>114</v>
      </c>
      <c r="F36" t="s">
        <v>114</v>
      </c>
      <c r="G36" t="s">
        <v>116</v>
      </c>
      <c r="H36" t="s">
        <v>118</v>
      </c>
      <c r="I36" t="s">
        <v>118</v>
      </c>
      <c r="J36" s="27" t="s">
        <v>115</v>
      </c>
      <c r="K36" s="23" t="s">
        <v>116</v>
      </c>
      <c r="L36" t="s">
        <v>116</v>
      </c>
      <c r="M36" t="s">
        <v>114</v>
      </c>
      <c r="N36" t="s">
        <v>116</v>
      </c>
      <c r="O36" t="s">
        <v>118</v>
      </c>
      <c r="P36" t="s">
        <v>118</v>
      </c>
      <c r="Q36" s="19" t="s">
        <v>116</v>
      </c>
      <c r="R36" s="23" t="s">
        <v>114</v>
      </c>
      <c r="S36" t="s">
        <v>116</v>
      </c>
      <c r="T36" t="s">
        <v>113</v>
      </c>
      <c r="U36" t="s">
        <v>114</v>
      </c>
      <c r="V36" t="s">
        <v>118</v>
      </c>
      <c r="W36" t="s">
        <v>118</v>
      </c>
      <c r="X36" s="19" t="s">
        <v>114</v>
      </c>
      <c r="Y36" s="23" t="s">
        <v>113</v>
      </c>
      <c r="Z36" t="s">
        <v>114</v>
      </c>
      <c r="AA36" t="s">
        <v>113</v>
      </c>
      <c r="AB36" t="s">
        <v>113</v>
      </c>
      <c r="AC36" t="s">
        <v>118</v>
      </c>
      <c r="AD36" t="s">
        <v>118</v>
      </c>
      <c r="AE36" s="27" t="s">
        <v>114</v>
      </c>
    </row>
    <row r="37" spans="1:31" ht="18" x14ac:dyDescent="0.35">
      <c r="A37" s="351">
        <v>7</v>
      </c>
      <c r="B37" s="79" t="s">
        <v>120</v>
      </c>
      <c r="C37" s="93" t="s">
        <v>67</v>
      </c>
      <c r="D37" s="23" t="s">
        <v>116</v>
      </c>
      <c r="E37" t="s">
        <v>116</v>
      </c>
      <c r="F37" t="s">
        <v>114</v>
      </c>
      <c r="G37" t="s">
        <v>115</v>
      </c>
      <c r="H37" t="s">
        <v>118</v>
      </c>
      <c r="I37" t="s">
        <v>118</v>
      </c>
      <c r="J37" s="27" t="s">
        <v>115</v>
      </c>
      <c r="K37" s="23" t="s">
        <v>115</v>
      </c>
      <c r="L37" t="s">
        <v>116</v>
      </c>
      <c r="M37" t="s">
        <v>114</v>
      </c>
      <c r="N37" t="s">
        <v>115</v>
      </c>
      <c r="O37" t="s">
        <v>118</v>
      </c>
      <c r="P37" t="s">
        <v>118</v>
      </c>
      <c r="Q37" s="19" t="s">
        <v>115</v>
      </c>
      <c r="R37" s="23" t="s">
        <v>115</v>
      </c>
      <c r="S37" t="s">
        <v>116</v>
      </c>
      <c r="T37" t="s">
        <v>113</v>
      </c>
      <c r="U37" t="s">
        <v>116</v>
      </c>
      <c r="V37" t="s">
        <v>118</v>
      </c>
      <c r="W37" t="s">
        <v>118</v>
      </c>
      <c r="X37" s="19" t="s">
        <v>115</v>
      </c>
      <c r="Y37" s="23" t="s">
        <v>116</v>
      </c>
      <c r="Z37" t="s">
        <v>114</v>
      </c>
      <c r="AA37" t="s">
        <v>113</v>
      </c>
      <c r="AB37" t="s">
        <v>116</v>
      </c>
      <c r="AC37" t="s">
        <v>118</v>
      </c>
      <c r="AD37" t="s">
        <v>118</v>
      </c>
      <c r="AE37" s="27" t="s">
        <v>114</v>
      </c>
    </row>
    <row r="38" spans="1:31" ht="18" x14ac:dyDescent="0.35">
      <c r="A38" s="350">
        <v>8</v>
      </c>
      <c r="B38" s="79" t="s">
        <v>120</v>
      </c>
      <c r="C38" s="93" t="s">
        <v>121</v>
      </c>
      <c r="D38" s="23" t="s">
        <v>116</v>
      </c>
      <c r="E38" t="s">
        <v>116</v>
      </c>
      <c r="F38" t="s">
        <v>114</v>
      </c>
      <c r="G38" t="s">
        <v>115</v>
      </c>
      <c r="H38" t="s">
        <v>118</v>
      </c>
      <c r="I38" t="s">
        <v>118</v>
      </c>
      <c r="J38" s="27" t="s">
        <v>115</v>
      </c>
      <c r="K38" s="23" t="s">
        <v>115</v>
      </c>
      <c r="L38" t="s">
        <v>116</v>
      </c>
      <c r="M38" t="s">
        <v>114</v>
      </c>
      <c r="N38" t="s">
        <v>115</v>
      </c>
      <c r="O38" t="s">
        <v>118</v>
      </c>
      <c r="P38" t="s">
        <v>118</v>
      </c>
      <c r="Q38" s="19" t="s">
        <v>116</v>
      </c>
      <c r="R38" s="23" t="s">
        <v>115</v>
      </c>
      <c r="S38" t="s">
        <v>116</v>
      </c>
      <c r="T38" t="s">
        <v>113</v>
      </c>
      <c r="U38" t="s">
        <v>116</v>
      </c>
      <c r="V38" t="s">
        <v>118</v>
      </c>
      <c r="W38" t="s">
        <v>118</v>
      </c>
      <c r="X38" s="19" t="s">
        <v>114</v>
      </c>
      <c r="Y38" s="23" t="s">
        <v>114</v>
      </c>
      <c r="Z38" t="s">
        <v>114</v>
      </c>
      <c r="AA38" t="s">
        <v>113</v>
      </c>
      <c r="AB38" t="s">
        <v>116</v>
      </c>
      <c r="AC38" t="s">
        <v>118</v>
      </c>
      <c r="AD38" t="s">
        <v>118</v>
      </c>
      <c r="AE38" s="27" t="s">
        <v>114</v>
      </c>
    </row>
    <row r="39" spans="1:31" ht="18" x14ac:dyDescent="0.35">
      <c r="A39" s="351">
        <v>9</v>
      </c>
      <c r="B39" s="79" t="s">
        <v>120</v>
      </c>
      <c r="C39" s="93" t="s">
        <v>70</v>
      </c>
      <c r="D39" s="23" t="s">
        <v>114</v>
      </c>
      <c r="E39" t="s">
        <v>114</v>
      </c>
      <c r="F39" t="s">
        <v>114</v>
      </c>
      <c r="G39" t="s">
        <v>116</v>
      </c>
      <c r="H39" t="s">
        <v>118</v>
      </c>
      <c r="I39" t="s">
        <v>118</v>
      </c>
      <c r="J39" s="27" t="s">
        <v>115</v>
      </c>
      <c r="K39" s="23" t="s">
        <v>115</v>
      </c>
      <c r="L39" t="s">
        <v>116</v>
      </c>
      <c r="M39" t="s">
        <v>114</v>
      </c>
      <c r="N39" t="s">
        <v>115</v>
      </c>
      <c r="O39" t="s">
        <v>118</v>
      </c>
      <c r="P39" t="s">
        <v>118</v>
      </c>
      <c r="Q39" s="19" t="s">
        <v>116</v>
      </c>
      <c r="R39" s="23" t="s">
        <v>116</v>
      </c>
      <c r="S39" t="s">
        <v>116</v>
      </c>
      <c r="T39" t="s">
        <v>113</v>
      </c>
      <c r="U39" t="s">
        <v>116</v>
      </c>
      <c r="V39" t="s">
        <v>118</v>
      </c>
      <c r="W39" t="s">
        <v>118</v>
      </c>
      <c r="X39" s="19" t="s">
        <v>114</v>
      </c>
      <c r="Y39" s="23" t="s">
        <v>113</v>
      </c>
      <c r="Z39" t="s">
        <v>114</v>
      </c>
      <c r="AA39" t="s">
        <v>113</v>
      </c>
      <c r="AB39" t="s">
        <v>114</v>
      </c>
      <c r="AC39" t="s">
        <v>118</v>
      </c>
      <c r="AD39" t="s">
        <v>118</v>
      </c>
      <c r="AE39" s="27" t="s">
        <v>114</v>
      </c>
    </row>
    <row r="40" spans="1:31" ht="18" x14ac:dyDescent="0.35">
      <c r="A40" s="350">
        <v>10</v>
      </c>
      <c r="B40" s="79" t="s">
        <v>120</v>
      </c>
      <c r="C40" s="93" t="s">
        <v>223</v>
      </c>
      <c r="D40" s="23" t="s">
        <v>114</v>
      </c>
      <c r="E40" t="s">
        <v>114</v>
      </c>
      <c r="F40" t="s">
        <v>114</v>
      </c>
      <c r="G40" t="s">
        <v>116</v>
      </c>
      <c r="H40" t="s">
        <v>118</v>
      </c>
      <c r="I40" t="s">
        <v>118</v>
      </c>
      <c r="J40" s="27" t="s">
        <v>116</v>
      </c>
      <c r="K40" s="23" t="s">
        <v>115</v>
      </c>
      <c r="L40" t="s">
        <v>116</v>
      </c>
      <c r="M40" t="s">
        <v>114</v>
      </c>
      <c r="N40" t="s">
        <v>115</v>
      </c>
      <c r="O40" t="s">
        <v>118</v>
      </c>
      <c r="P40" t="s">
        <v>118</v>
      </c>
      <c r="Q40" s="19" t="s">
        <v>116</v>
      </c>
      <c r="R40" s="23" t="s">
        <v>114</v>
      </c>
      <c r="S40" t="s">
        <v>116</v>
      </c>
      <c r="T40" t="s">
        <v>113</v>
      </c>
      <c r="U40" t="s">
        <v>115</v>
      </c>
      <c r="V40" t="s">
        <v>118</v>
      </c>
      <c r="W40" t="s">
        <v>118</v>
      </c>
      <c r="X40" s="19" t="s">
        <v>114</v>
      </c>
      <c r="Y40" s="23" t="s">
        <v>113</v>
      </c>
      <c r="Z40" t="s">
        <v>114</v>
      </c>
      <c r="AA40" t="s">
        <v>113</v>
      </c>
      <c r="AB40" t="s">
        <v>116</v>
      </c>
      <c r="AC40" t="s">
        <v>118</v>
      </c>
      <c r="AD40" t="s">
        <v>118</v>
      </c>
      <c r="AE40" s="27" t="s">
        <v>114</v>
      </c>
    </row>
    <row r="41" spans="1:31" ht="18" x14ac:dyDescent="0.35">
      <c r="A41" s="351">
        <v>11</v>
      </c>
      <c r="B41" s="79" t="s">
        <v>120</v>
      </c>
      <c r="C41" s="93" t="s">
        <v>122</v>
      </c>
      <c r="D41" s="23" t="s">
        <v>115</v>
      </c>
      <c r="E41" t="s">
        <v>116</v>
      </c>
      <c r="F41" t="s">
        <v>114</v>
      </c>
      <c r="G41" t="s">
        <v>114</v>
      </c>
      <c r="H41" t="s">
        <v>118</v>
      </c>
      <c r="I41" t="s">
        <v>118</v>
      </c>
      <c r="J41" s="27" t="s">
        <v>114</v>
      </c>
      <c r="K41" s="23" t="s">
        <v>115</v>
      </c>
      <c r="L41" t="s">
        <v>115</v>
      </c>
      <c r="M41" t="s">
        <v>116</v>
      </c>
      <c r="N41" t="s">
        <v>116</v>
      </c>
      <c r="O41" t="s">
        <v>118</v>
      </c>
      <c r="P41" t="s">
        <v>118</v>
      </c>
      <c r="Q41" s="19" t="s">
        <v>116</v>
      </c>
      <c r="R41" s="23" t="s">
        <v>116</v>
      </c>
      <c r="S41" t="s">
        <v>116</v>
      </c>
      <c r="T41" t="s">
        <v>114</v>
      </c>
      <c r="U41" t="s">
        <v>114</v>
      </c>
      <c r="V41" t="s">
        <v>118</v>
      </c>
      <c r="W41" t="s">
        <v>118</v>
      </c>
      <c r="X41" s="19" t="s">
        <v>114</v>
      </c>
      <c r="Y41" s="23" t="s">
        <v>114</v>
      </c>
      <c r="Z41" t="s">
        <v>114</v>
      </c>
      <c r="AA41" t="s">
        <v>113</v>
      </c>
      <c r="AB41" t="s">
        <v>113</v>
      </c>
      <c r="AC41" t="s">
        <v>118</v>
      </c>
      <c r="AD41" t="s">
        <v>118</v>
      </c>
      <c r="AE41" s="27" t="s">
        <v>113</v>
      </c>
    </row>
    <row r="42" spans="1:31" ht="18" x14ac:dyDescent="0.35">
      <c r="A42" s="350">
        <v>12</v>
      </c>
      <c r="B42" s="79" t="s">
        <v>120</v>
      </c>
      <c r="C42" s="93" t="s">
        <v>224</v>
      </c>
      <c r="D42" s="23" t="s">
        <v>116</v>
      </c>
      <c r="E42" t="s">
        <v>114</v>
      </c>
      <c r="F42" t="s">
        <v>114</v>
      </c>
      <c r="G42" t="s">
        <v>116</v>
      </c>
      <c r="H42" t="s">
        <v>118</v>
      </c>
      <c r="I42" t="s">
        <v>118</v>
      </c>
      <c r="J42" s="27" t="s">
        <v>115</v>
      </c>
      <c r="K42" s="23" t="s">
        <v>116</v>
      </c>
      <c r="L42" t="s">
        <v>114</v>
      </c>
      <c r="M42" t="s">
        <v>114</v>
      </c>
      <c r="N42" t="s">
        <v>118</v>
      </c>
      <c r="O42" t="s">
        <v>118</v>
      </c>
      <c r="P42" t="s">
        <v>118</v>
      </c>
      <c r="Q42" s="19" t="s">
        <v>115</v>
      </c>
      <c r="R42" s="23" t="s">
        <v>114</v>
      </c>
      <c r="S42" t="s">
        <v>114</v>
      </c>
      <c r="T42" t="s">
        <v>113</v>
      </c>
      <c r="U42" t="s">
        <v>118</v>
      </c>
      <c r="V42" t="s">
        <v>118</v>
      </c>
      <c r="W42" t="s">
        <v>118</v>
      </c>
      <c r="X42" s="19" t="s">
        <v>115</v>
      </c>
      <c r="Y42" s="23" t="s">
        <v>113</v>
      </c>
      <c r="Z42" t="s">
        <v>113</v>
      </c>
      <c r="AA42" t="s">
        <v>113</v>
      </c>
      <c r="AB42" t="s">
        <v>118</v>
      </c>
      <c r="AC42" t="s">
        <v>118</v>
      </c>
      <c r="AD42" t="s">
        <v>118</v>
      </c>
      <c r="AE42" s="27" t="s">
        <v>116</v>
      </c>
    </row>
    <row r="43" spans="1:31" ht="18" x14ac:dyDescent="0.35">
      <c r="A43" s="351">
        <v>13</v>
      </c>
      <c r="B43" s="79" t="s">
        <v>120</v>
      </c>
      <c r="C43" s="93" t="s">
        <v>212</v>
      </c>
      <c r="D43" s="23" t="s">
        <v>114</v>
      </c>
      <c r="E43" t="s">
        <v>116</v>
      </c>
      <c r="F43" t="s">
        <v>114</v>
      </c>
      <c r="G43" t="s">
        <v>116</v>
      </c>
      <c r="H43" t="s">
        <v>118</v>
      </c>
      <c r="I43" t="s">
        <v>118</v>
      </c>
      <c r="J43" s="27" t="s">
        <v>115</v>
      </c>
      <c r="K43" s="23" t="s">
        <v>116</v>
      </c>
      <c r="L43" t="s">
        <v>116</v>
      </c>
      <c r="M43" t="s">
        <v>114</v>
      </c>
      <c r="N43" t="s">
        <v>116</v>
      </c>
      <c r="O43" t="s">
        <v>118</v>
      </c>
      <c r="P43" t="s">
        <v>118</v>
      </c>
      <c r="Q43" s="19" t="s">
        <v>116</v>
      </c>
      <c r="R43" s="23" t="s">
        <v>114</v>
      </c>
      <c r="S43" t="s">
        <v>116</v>
      </c>
      <c r="T43" t="s">
        <v>113</v>
      </c>
      <c r="U43" t="s">
        <v>114</v>
      </c>
      <c r="V43" t="s">
        <v>118</v>
      </c>
      <c r="W43" t="s">
        <v>118</v>
      </c>
      <c r="X43" s="19" t="s">
        <v>114</v>
      </c>
      <c r="Y43" s="23" t="s">
        <v>113</v>
      </c>
      <c r="Z43" t="s">
        <v>114</v>
      </c>
      <c r="AA43" t="s">
        <v>113</v>
      </c>
      <c r="AB43" t="s">
        <v>113</v>
      </c>
      <c r="AC43" t="s">
        <v>118</v>
      </c>
      <c r="AD43" t="s">
        <v>118</v>
      </c>
      <c r="AE43" s="27" t="s">
        <v>114</v>
      </c>
    </row>
    <row r="44" spans="1:31" ht="18" x14ac:dyDescent="0.35">
      <c r="A44" s="350">
        <v>14</v>
      </c>
      <c r="B44" s="79" t="s">
        <v>120</v>
      </c>
      <c r="C44" s="93" t="s">
        <v>74</v>
      </c>
      <c r="D44" s="23" t="s">
        <v>116</v>
      </c>
      <c r="E44" t="s">
        <v>114</v>
      </c>
      <c r="F44" t="s">
        <v>114</v>
      </c>
      <c r="G44" t="s">
        <v>118</v>
      </c>
      <c r="H44" t="s">
        <v>118</v>
      </c>
      <c r="I44" t="s">
        <v>118</v>
      </c>
      <c r="J44" s="27" t="s">
        <v>116</v>
      </c>
      <c r="K44" s="23" t="s">
        <v>115</v>
      </c>
      <c r="L44" t="s">
        <v>116</v>
      </c>
      <c r="M44" t="s">
        <v>116</v>
      </c>
      <c r="N44" t="s">
        <v>118</v>
      </c>
      <c r="O44" t="s">
        <v>118</v>
      </c>
      <c r="P44" t="s">
        <v>118</v>
      </c>
      <c r="Q44" s="19" t="s">
        <v>116</v>
      </c>
      <c r="R44" s="23" t="s">
        <v>116</v>
      </c>
      <c r="S44" t="s">
        <v>116</v>
      </c>
      <c r="T44" t="s">
        <v>114</v>
      </c>
      <c r="U44" t="s">
        <v>118</v>
      </c>
      <c r="V44" t="s">
        <v>118</v>
      </c>
      <c r="W44" t="s">
        <v>118</v>
      </c>
      <c r="X44" s="19" t="s">
        <v>114</v>
      </c>
      <c r="Y44" s="23" t="s">
        <v>114</v>
      </c>
      <c r="Z44" t="s">
        <v>113</v>
      </c>
      <c r="AA44" t="s">
        <v>113</v>
      </c>
      <c r="AB44" t="s">
        <v>118</v>
      </c>
      <c r="AC44" t="s">
        <v>118</v>
      </c>
      <c r="AD44" t="s">
        <v>118</v>
      </c>
      <c r="AE44" s="27" t="s">
        <v>114</v>
      </c>
    </row>
    <row r="45" spans="1:31" ht="18" x14ac:dyDescent="0.35">
      <c r="A45" s="351">
        <v>15</v>
      </c>
      <c r="B45" s="78" t="s">
        <v>46</v>
      </c>
      <c r="C45" s="73" t="s">
        <v>227</v>
      </c>
      <c r="D45" s="21" t="s">
        <v>116</v>
      </c>
      <c r="E45" s="50" t="s">
        <v>113</v>
      </c>
      <c r="F45" s="50" t="s">
        <v>113</v>
      </c>
      <c r="G45" s="50" t="s">
        <v>114</v>
      </c>
      <c r="H45" s="50" t="s">
        <v>118</v>
      </c>
      <c r="I45" s="50" t="s">
        <v>118</v>
      </c>
      <c r="J45" s="342" t="s">
        <v>114</v>
      </c>
      <c r="K45" s="21" t="s">
        <v>115</v>
      </c>
      <c r="L45" s="50" t="s">
        <v>114</v>
      </c>
      <c r="M45" s="50" t="s">
        <v>114</v>
      </c>
      <c r="N45" s="50" t="s">
        <v>116</v>
      </c>
      <c r="O45" s="50" t="s">
        <v>118</v>
      </c>
      <c r="P45" s="50" t="s">
        <v>118</v>
      </c>
      <c r="Q45" s="95" t="s">
        <v>116</v>
      </c>
      <c r="R45" s="21" t="s">
        <v>115</v>
      </c>
      <c r="S45" s="50" t="s">
        <v>114</v>
      </c>
      <c r="T45" s="50" t="s">
        <v>113</v>
      </c>
      <c r="U45" s="50" t="s">
        <v>114</v>
      </c>
      <c r="V45" s="50" t="s">
        <v>118</v>
      </c>
      <c r="W45" s="50" t="s">
        <v>118</v>
      </c>
      <c r="X45" s="95" t="s">
        <v>114</v>
      </c>
      <c r="Y45" s="21" t="s">
        <v>116</v>
      </c>
      <c r="Z45" s="50" t="s">
        <v>114</v>
      </c>
      <c r="AA45" s="50" t="s">
        <v>113</v>
      </c>
      <c r="AB45" s="50" t="s">
        <v>113</v>
      </c>
      <c r="AC45" s="50" t="s">
        <v>118</v>
      </c>
      <c r="AD45" s="50" t="s">
        <v>118</v>
      </c>
      <c r="AE45" s="342" t="s">
        <v>113</v>
      </c>
    </row>
    <row r="46" spans="1:31" ht="18" x14ac:dyDescent="0.35">
      <c r="A46" s="350">
        <v>16</v>
      </c>
      <c r="B46" s="79" t="s">
        <v>46</v>
      </c>
      <c r="C46" s="93" t="s">
        <v>226</v>
      </c>
      <c r="D46" s="23" t="s">
        <v>114</v>
      </c>
      <c r="E46" t="s">
        <v>113</v>
      </c>
      <c r="F46" t="s">
        <v>113</v>
      </c>
      <c r="G46" t="s">
        <v>115</v>
      </c>
      <c r="H46" t="s">
        <v>116</v>
      </c>
      <c r="I46" t="s">
        <v>116</v>
      </c>
      <c r="J46" s="27" t="s">
        <v>114</v>
      </c>
      <c r="K46" s="23" t="s">
        <v>115</v>
      </c>
      <c r="L46" t="s">
        <v>114</v>
      </c>
      <c r="M46" t="s">
        <v>114</v>
      </c>
      <c r="N46" t="s">
        <v>115</v>
      </c>
      <c r="O46" t="s">
        <v>116</v>
      </c>
      <c r="P46" t="s">
        <v>116</v>
      </c>
      <c r="Q46" s="19" t="s">
        <v>116</v>
      </c>
      <c r="R46" s="23" t="s">
        <v>115</v>
      </c>
      <c r="S46" t="s">
        <v>114</v>
      </c>
      <c r="T46" t="s">
        <v>113</v>
      </c>
      <c r="U46" t="s">
        <v>115</v>
      </c>
      <c r="V46" t="s">
        <v>114</v>
      </c>
      <c r="W46" t="s">
        <v>114</v>
      </c>
      <c r="X46" s="19" t="s">
        <v>114</v>
      </c>
      <c r="Y46" s="23" t="s">
        <v>116</v>
      </c>
      <c r="Z46" t="s">
        <v>114</v>
      </c>
      <c r="AA46" t="s">
        <v>113</v>
      </c>
      <c r="AB46" t="s">
        <v>115</v>
      </c>
      <c r="AC46" t="s">
        <v>113</v>
      </c>
      <c r="AD46" t="s">
        <v>113</v>
      </c>
      <c r="AE46" s="27" t="s">
        <v>113</v>
      </c>
    </row>
    <row r="47" spans="1:31" ht="18" x14ac:dyDescent="0.35">
      <c r="A47" s="351">
        <v>17</v>
      </c>
      <c r="B47" s="79" t="s">
        <v>46</v>
      </c>
      <c r="C47" s="93" t="s">
        <v>225</v>
      </c>
      <c r="D47" s="23" t="s">
        <v>115</v>
      </c>
      <c r="E47" t="s">
        <v>113</v>
      </c>
      <c r="F47" t="s">
        <v>113</v>
      </c>
      <c r="G47" t="s">
        <v>114</v>
      </c>
      <c r="H47" t="s">
        <v>118</v>
      </c>
      <c r="I47" t="s">
        <v>118</v>
      </c>
      <c r="J47" s="27" t="s">
        <v>114</v>
      </c>
      <c r="K47" s="23" t="s">
        <v>115</v>
      </c>
      <c r="L47" t="s">
        <v>114</v>
      </c>
      <c r="M47" t="s">
        <v>114</v>
      </c>
      <c r="N47" t="s">
        <v>116</v>
      </c>
      <c r="O47" t="s">
        <v>118</v>
      </c>
      <c r="P47" t="s">
        <v>118</v>
      </c>
      <c r="Q47" s="19" t="s">
        <v>116</v>
      </c>
      <c r="R47" s="23" t="s">
        <v>115</v>
      </c>
      <c r="S47" t="s">
        <v>114</v>
      </c>
      <c r="T47" t="s">
        <v>113</v>
      </c>
      <c r="U47" t="s">
        <v>114</v>
      </c>
      <c r="V47" t="s">
        <v>118</v>
      </c>
      <c r="W47" t="s">
        <v>118</v>
      </c>
      <c r="X47" s="19" t="s">
        <v>114</v>
      </c>
      <c r="Y47" s="23" t="s">
        <v>114</v>
      </c>
      <c r="Z47" t="s">
        <v>114</v>
      </c>
      <c r="AA47" t="s">
        <v>113</v>
      </c>
      <c r="AB47" t="s">
        <v>113</v>
      </c>
      <c r="AC47" t="s">
        <v>118</v>
      </c>
      <c r="AD47" t="s">
        <v>118</v>
      </c>
      <c r="AE47" s="27" t="s">
        <v>113</v>
      </c>
    </row>
    <row r="48" spans="1:31" ht="18" x14ac:dyDescent="0.35">
      <c r="A48" s="350">
        <v>18</v>
      </c>
      <c r="B48" s="79" t="s">
        <v>46</v>
      </c>
      <c r="C48" s="93" t="s">
        <v>79</v>
      </c>
      <c r="D48" s="23" t="s">
        <v>114</v>
      </c>
      <c r="E48" t="s">
        <v>113</v>
      </c>
      <c r="F48" t="s">
        <v>113</v>
      </c>
      <c r="G48" t="s">
        <v>115</v>
      </c>
      <c r="H48" t="s">
        <v>116</v>
      </c>
      <c r="I48" t="s">
        <v>116</v>
      </c>
      <c r="J48" s="27" t="s">
        <v>114</v>
      </c>
      <c r="K48" s="23" t="s">
        <v>116</v>
      </c>
      <c r="L48" t="s">
        <v>114</v>
      </c>
      <c r="M48" t="s">
        <v>114</v>
      </c>
      <c r="N48" t="s">
        <v>115</v>
      </c>
      <c r="O48" t="s">
        <v>115</v>
      </c>
      <c r="P48" t="s">
        <v>115</v>
      </c>
      <c r="Q48" s="19" t="s">
        <v>116</v>
      </c>
      <c r="R48" s="23" t="s">
        <v>114</v>
      </c>
      <c r="S48" t="s">
        <v>114</v>
      </c>
      <c r="T48" t="s">
        <v>113</v>
      </c>
      <c r="U48" t="s">
        <v>115</v>
      </c>
      <c r="V48" t="s">
        <v>114</v>
      </c>
      <c r="W48" t="s">
        <v>114</v>
      </c>
      <c r="X48" s="19" t="s">
        <v>114</v>
      </c>
      <c r="Y48" s="23" t="s">
        <v>113</v>
      </c>
      <c r="Z48" t="s">
        <v>114</v>
      </c>
      <c r="AA48" t="s">
        <v>113</v>
      </c>
      <c r="AB48" t="s">
        <v>115</v>
      </c>
      <c r="AC48" t="s">
        <v>113</v>
      </c>
      <c r="AD48" t="s">
        <v>113</v>
      </c>
      <c r="AE48" s="27" t="s">
        <v>113</v>
      </c>
    </row>
    <row r="49" spans="1:32" ht="18" x14ac:dyDescent="0.35">
      <c r="A49" s="351">
        <v>19</v>
      </c>
      <c r="B49" s="79" t="s">
        <v>46</v>
      </c>
      <c r="C49" s="93" t="s">
        <v>443</v>
      </c>
      <c r="D49" s="23" t="s">
        <v>114</v>
      </c>
      <c r="E49" t="s">
        <v>113</v>
      </c>
      <c r="F49" t="s">
        <v>113</v>
      </c>
      <c r="G49" t="s">
        <v>115</v>
      </c>
      <c r="H49" t="s">
        <v>118</v>
      </c>
      <c r="I49" t="s">
        <v>118</v>
      </c>
      <c r="J49" s="27" t="s">
        <v>115</v>
      </c>
      <c r="K49" s="23" t="s">
        <v>116</v>
      </c>
      <c r="L49" t="s">
        <v>114</v>
      </c>
      <c r="M49" t="s">
        <v>114</v>
      </c>
      <c r="N49" t="s">
        <v>115</v>
      </c>
      <c r="O49" t="s">
        <v>118</v>
      </c>
      <c r="P49" t="s">
        <v>118</v>
      </c>
      <c r="Q49" s="19" t="s">
        <v>116</v>
      </c>
      <c r="R49" s="23" t="s">
        <v>114</v>
      </c>
      <c r="S49" t="s">
        <v>114</v>
      </c>
      <c r="T49" t="s">
        <v>113</v>
      </c>
      <c r="U49" t="s">
        <v>116</v>
      </c>
      <c r="V49" t="s">
        <v>118</v>
      </c>
      <c r="W49" t="s">
        <v>118</v>
      </c>
      <c r="X49" s="19" t="s">
        <v>116</v>
      </c>
      <c r="Y49" s="23" t="s">
        <v>114</v>
      </c>
      <c r="Z49" t="s">
        <v>114</v>
      </c>
      <c r="AA49" t="s">
        <v>113</v>
      </c>
      <c r="AB49" t="s">
        <v>114</v>
      </c>
      <c r="AC49" t="s">
        <v>118</v>
      </c>
      <c r="AD49" t="s">
        <v>118</v>
      </c>
      <c r="AE49" s="27" t="s">
        <v>116</v>
      </c>
    </row>
    <row r="50" spans="1:32" ht="18" x14ac:dyDescent="0.35">
      <c r="A50" s="350">
        <v>20</v>
      </c>
      <c r="B50" s="79" t="s">
        <v>46</v>
      </c>
      <c r="C50" s="93" t="s">
        <v>222</v>
      </c>
      <c r="D50" s="23" t="s">
        <v>115</v>
      </c>
      <c r="E50" t="s">
        <v>113</v>
      </c>
      <c r="F50" t="s">
        <v>113</v>
      </c>
      <c r="G50" t="s">
        <v>116</v>
      </c>
      <c r="H50" t="s">
        <v>115</v>
      </c>
      <c r="I50" t="s">
        <v>115</v>
      </c>
      <c r="J50" s="27" t="s">
        <v>115</v>
      </c>
      <c r="K50" s="23" t="s">
        <v>116</v>
      </c>
      <c r="L50" t="s">
        <v>114</v>
      </c>
      <c r="M50" t="s">
        <v>114</v>
      </c>
      <c r="N50" t="s">
        <v>115</v>
      </c>
      <c r="O50" t="s">
        <v>115</v>
      </c>
      <c r="P50" t="s">
        <v>115</v>
      </c>
      <c r="Q50" s="19" t="s">
        <v>116</v>
      </c>
      <c r="R50" s="23" t="s">
        <v>116</v>
      </c>
      <c r="S50" t="s">
        <v>114</v>
      </c>
      <c r="T50" t="s">
        <v>113</v>
      </c>
      <c r="U50" t="s">
        <v>115</v>
      </c>
      <c r="V50" t="s">
        <v>116</v>
      </c>
      <c r="W50" t="s">
        <v>115</v>
      </c>
      <c r="X50" s="19" t="s">
        <v>116</v>
      </c>
      <c r="Y50" s="23" t="s">
        <v>116</v>
      </c>
      <c r="Z50" t="s">
        <v>114</v>
      </c>
      <c r="AA50" t="s">
        <v>113</v>
      </c>
      <c r="AB50" t="s">
        <v>115</v>
      </c>
      <c r="AC50" t="s">
        <v>116</v>
      </c>
      <c r="AD50" t="s">
        <v>116</v>
      </c>
      <c r="AE50" s="27" t="s">
        <v>116</v>
      </c>
    </row>
    <row r="51" spans="1:32" ht="18" x14ac:dyDescent="0.35">
      <c r="A51" s="351">
        <v>21</v>
      </c>
      <c r="B51" s="79" t="s">
        <v>46</v>
      </c>
      <c r="C51" s="93" t="s">
        <v>221</v>
      </c>
      <c r="D51" s="23" t="s">
        <v>116</v>
      </c>
      <c r="E51" t="s">
        <v>116</v>
      </c>
      <c r="F51" t="s">
        <v>114</v>
      </c>
      <c r="G51" t="s">
        <v>116</v>
      </c>
      <c r="H51" t="s">
        <v>118</v>
      </c>
      <c r="I51" t="s">
        <v>118</v>
      </c>
      <c r="J51" s="27" t="s">
        <v>116</v>
      </c>
      <c r="K51" s="23" t="s">
        <v>116</v>
      </c>
      <c r="L51" t="s">
        <v>115</v>
      </c>
      <c r="M51" t="s">
        <v>116</v>
      </c>
      <c r="N51" t="s">
        <v>116</v>
      </c>
      <c r="O51" t="s">
        <v>118</v>
      </c>
      <c r="P51" t="s">
        <v>118</v>
      </c>
      <c r="Q51" s="19" t="s">
        <v>116</v>
      </c>
      <c r="R51" s="23" t="s">
        <v>114</v>
      </c>
      <c r="S51" t="s">
        <v>116</v>
      </c>
      <c r="T51" t="s">
        <v>114</v>
      </c>
      <c r="U51" t="s">
        <v>114</v>
      </c>
      <c r="V51" t="s">
        <v>118</v>
      </c>
      <c r="W51" t="s">
        <v>118</v>
      </c>
      <c r="X51" s="19" t="s">
        <v>114</v>
      </c>
      <c r="Y51" s="23" t="s">
        <v>114</v>
      </c>
      <c r="Z51" t="s">
        <v>114</v>
      </c>
      <c r="AA51" t="s">
        <v>113</v>
      </c>
      <c r="AB51" t="s">
        <v>113</v>
      </c>
      <c r="AC51" t="s">
        <v>118</v>
      </c>
      <c r="AD51" t="s">
        <v>118</v>
      </c>
      <c r="AE51" s="27" t="s">
        <v>113</v>
      </c>
    </row>
    <row r="52" spans="1:32" ht="18" x14ac:dyDescent="0.35">
      <c r="A52" s="350">
        <v>22</v>
      </c>
      <c r="B52" s="79" t="s">
        <v>46</v>
      </c>
      <c r="C52" s="93" t="s">
        <v>219</v>
      </c>
      <c r="D52" s="23" t="s">
        <v>116</v>
      </c>
      <c r="E52" t="s">
        <v>114</v>
      </c>
      <c r="F52" t="s">
        <v>114</v>
      </c>
      <c r="G52" t="s">
        <v>116</v>
      </c>
      <c r="H52" t="s">
        <v>116</v>
      </c>
      <c r="I52" t="s">
        <v>115</v>
      </c>
      <c r="J52" s="27" t="s">
        <v>116</v>
      </c>
      <c r="K52" s="23" t="s">
        <v>116</v>
      </c>
      <c r="L52" t="s">
        <v>115</v>
      </c>
      <c r="M52" t="s">
        <v>116</v>
      </c>
      <c r="N52" t="s">
        <v>115</v>
      </c>
      <c r="O52" t="s">
        <v>116</v>
      </c>
      <c r="P52" t="s">
        <v>115</v>
      </c>
      <c r="Q52" s="19" t="s">
        <v>116</v>
      </c>
      <c r="R52" s="23" t="s">
        <v>114</v>
      </c>
      <c r="S52" t="s">
        <v>116</v>
      </c>
      <c r="T52" t="s">
        <v>114</v>
      </c>
      <c r="U52" t="s">
        <v>115</v>
      </c>
      <c r="V52" t="s">
        <v>114</v>
      </c>
      <c r="W52" t="s">
        <v>116</v>
      </c>
      <c r="X52" s="19" t="s">
        <v>114</v>
      </c>
      <c r="Y52" s="23" t="s">
        <v>114</v>
      </c>
      <c r="Z52" t="s">
        <v>114</v>
      </c>
      <c r="AA52" t="s">
        <v>113</v>
      </c>
      <c r="AB52" t="s">
        <v>114</v>
      </c>
      <c r="AC52" t="s">
        <v>113</v>
      </c>
      <c r="AD52" t="s">
        <v>114</v>
      </c>
      <c r="AE52" s="27" t="s">
        <v>113</v>
      </c>
    </row>
    <row r="53" spans="1:32" ht="18.5" thickBot="1" x14ac:dyDescent="0.4">
      <c r="A53" s="358">
        <v>23</v>
      </c>
      <c r="B53" s="79" t="s">
        <v>46</v>
      </c>
      <c r="C53" s="93" t="s">
        <v>217</v>
      </c>
      <c r="D53" s="23" t="s">
        <v>116</v>
      </c>
      <c r="E53" t="s">
        <v>116</v>
      </c>
      <c r="F53" t="s">
        <v>114</v>
      </c>
      <c r="G53" t="s">
        <v>116</v>
      </c>
      <c r="H53" t="s">
        <v>118</v>
      </c>
      <c r="I53" t="s">
        <v>118</v>
      </c>
      <c r="J53" s="27" t="s">
        <v>114</v>
      </c>
      <c r="K53" s="227" t="s">
        <v>115</v>
      </c>
      <c r="L53" s="10" t="s">
        <v>114</v>
      </c>
      <c r="M53" s="10" t="s">
        <v>116</v>
      </c>
      <c r="N53" s="10" t="s">
        <v>116</v>
      </c>
      <c r="O53" s="10" t="s">
        <v>118</v>
      </c>
      <c r="P53" s="10" t="s">
        <v>115</v>
      </c>
      <c r="Q53" s="345" t="s">
        <v>116</v>
      </c>
      <c r="R53" s="227" t="s">
        <v>114</v>
      </c>
      <c r="S53" s="10" t="s">
        <v>114</v>
      </c>
      <c r="T53" s="10" t="s">
        <v>114</v>
      </c>
      <c r="U53" s="10" t="s">
        <v>114</v>
      </c>
      <c r="V53" s="10" t="s">
        <v>118</v>
      </c>
      <c r="W53" s="10" t="s">
        <v>114</v>
      </c>
      <c r="X53" s="345" t="s">
        <v>114</v>
      </c>
      <c r="Y53" s="227" t="s">
        <v>114</v>
      </c>
      <c r="Z53" s="10" t="s">
        <v>114</v>
      </c>
      <c r="AA53" s="10" t="s">
        <v>113</v>
      </c>
      <c r="AB53" s="10" t="s">
        <v>114</v>
      </c>
      <c r="AC53" s="10" t="s">
        <v>118</v>
      </c>
      <c r="AD53" s="10" t="s">
        <v>114</v>
      </c>
      <c r="AE53" s="12" t="s">
        <v>113</v>
      </c>
    </row>
    <row r="55" spans="1:32" s="117" customFormat="1" ht="18" x14ac:dyDescent="0.35">
      <c r="A55" s="360" t="s">
        <v>518</v>
      </c>
    </row>
    <row r="56" spans="1:32" ht="18" x14ac:dyDescent="0.35">
      <c r="H56" s="61"/>
      <c r="I56" s="61"/>
      <c r="J56" s="61"/>
      <c r="K56" s="569" t="s">
        <v>86</v>
      </c>
      <c r="L56" s="569"/>
      <c r="M56" s="569"/>
      <c r="N56" s="569"/>
      <c r="O56" s="569"/>
      <c r="P56" s="569"/>
      <c r="Q56" s="569"/>
      <c r="R56" s="569" t="s">
        <v>87</v>
      </c>
      <c r="S56" s="569"/>
      <c r="T56" s="569"/>
      <c r="U56" s="569"/>
      <c r="V56" s="569"/>
      <c r="W56" s="569"/>
      <c r="X56" s="569"/>
      <c r="Y56" s="569" t="s">
        <v>88</v>
      </c>
      <c r="Z56" s="569"/>
      <c r="AA56" s="569"/>
      <c r="AB56" s="569"/>
      <c r="AC56" s="569"/>
      <c r="AD56" s="569"/>
      <c r="AE56" s="569"/>
    </row>
    <row r="57" spans="1:32" ht="18.5" thickBot="1" x14ac:dyDescent="0.4">
      <c r="H57" s="346" t="s">
        <v>516</v>
      </c>
      <c r="I57" s="346" t="s">
        <v>89</v>
      </c>
      <c r="J57" s="347" t="s">
        <v>90</v>
      </c>
      <c r="K57" s="81" t="s">
        <v>96</v>
      </c>
      <c r="L57" s="81" t="s">
        <v>97</v>
      </c>
      <c r="M57" s="81" t="s">
        <v>98</v>
      </c>
      <c r="N57" s="81" t="s">
        <v>99</v>
      </c>
      <c r="O57" s="81" t="s">
        <v>451</v>
      </c>
      <c r="P57" s="81" t="s">
        <v>100</v>
      </c>
      <c r="Q57" s="81" t="s">
        <v>452</v>
      </c>
      <c r="R57" s="81" t="s">
        <v>101</v>
      </c>
      <c r="S57" s="81" t="s">
        <v>102</v>
      </c>
      <c r="T57" s="81" t="s">
        <v>103</v>
      </c>
      <c r="U57" s="81" t="s">
        <v>104</v>
      </c>
      <c r="V57" s="81" t="s">
        <v>453</v>
      </c>
      <c r="W57" s="81" t="s">
        <v>105</v>
      </c>
      <c r="X57" s="81" t="s">
        <v>454</v>
      </c>
      <c r="Y57" s="81" t="s">
        <v>106</v>
      </c>
      <c r="Z57" s="81" t="s">
        <v>107</v>
      </c>
      <c r="AA57" s="81" t="s">
        <v>108</v>
      </c>
      <c r="AB57" s="81" t="s">
        <v>109</v>
      </c>
      <c r="AC57" s="81" t="s">
        <v>455</v>
      </c>
      <c r="AD57" s="81" t="s">
        <v>110</v>
      </c>
      <c r="AE57" s="81" t="s">
        <v>456</v>
      </c>
      <c r="AF57" s="81"/>
    </row>
    <row r="58" spans="1:32" ht="18" x14ac:dyDescent="0.35">
      <c r="H58" s="99">
        <v>1</v>
      </c>
      <c r="I58" s="336" t="s">
        <v>111</v>
      </c>
      <c r="J58" s="337" t="s">
        <v>112</v>
      </c>
      <c r="K58" s="338" t="str">
        <f t="shared" ref="K58:AE58" si="0">K31</f>
        <v>M</v>
      </c>
      <c r="L58" s="100" t="str">
        <f t="shared" si="0"/>
        <v>L</v>
      </c>
      <c r="M58" s="100" t="str">
        <f t="shared" si="0"/>
        <v>H</v>
      </c>
      <c r="N58" s="100" t="str">
        <f t="shared" si="0"/>
        <v>L</v>
      </c>
      <c r="O58" s="100" t="str">
        <f t="shared" si="0"/>
        <v>H</v>
      </c>
      <c r="P58" s="100" t="str">
        <f t="shared" si="0"/>
        <v>H</v>
      </c>
      <c r="Q58" s="339" t="str">
        <f t="shared" si="0"/>
        <v>H</v>
      </c>
      <c r="R58" s="338" t="str">
        <f t="shared" si="0"/>
        <v>H</v>
      </c>
      <c r="S58" s="100" t="str">
        <f t="shared" si="0"/>
        <v>L</v>
      </c>
      <c r="T58" s="100" t="str">
        <f t="shared" si="0"/>
        <v>E</v>
      </c>
      <c r="U58" s="100" t="str">
        <f t="shared" si="0"/>
        <v>L</v>
      </c>
      <c r="V58" s="100" t="str">
        <f t="shared" si="0"/>
        <v>E</v>
      </c>
      <c r="W58" s="100" t="str">
        <f t="shared" si="0"/>
        <v>H</v>
      </c>
      <c r="X58" s="339" t="str">
        <f t="shared" si="0"/>
        <v>E</v>
      </c>
      <c r="Y58" s="338" t="str">
        <f t="shared" si="0"/>
        <v>E</v>
      </c>
      <c r="Z58" s="100" t="str">
        <f t="shared" si="0"/>
        <v>M</v>
      </c>
      <c r="AA58" s="100" t="str">
        <f t="shared" si="0"/>
        <v>E</v>
      </c>
      <c r="AB58" s="100" t="str">
        <f t="shared" si="0"/>
        <v>L</v>
      </c>
      <c r="AC58" s="100" t="str">
        <f t="shared" si="0"/>
        <v>E</v>
      </c>
      <c r="AD58" s="100" t="str">
        <f t="shared" si="0"/>
        <v>E</v>
      </c>
      <c r="AE58" s="340" t="str">
        <f t="shared" si="0"/>
        <v>E</v>
      </c>
    </row>
    <row r="59" spans="1:32" ht="18" x14ac:dyDescent="0.35">
      <c r="H59" s="26">
        <v>2</v>
      </c>
      <c r="I59" s="327" t="s">
        <v>111</v>
      </c>
      <c r="J59" s="328" t="s">
        <v>117</v>
      </c>
      <c r="K59" s="23" t="str">
        <f t="shared" ref="K59:AE59" si="1">K32</f>
        <v>L</v>
      </c>
      <c r="L59" t="str">
        <f t="shared" si="1"/>
        <v>M</v>
      </c>
      <c r="M59" t="str">
        <f t="shared" si="1"/>
        <v>H</v>
      </c>
      <c r="N59" t="str">
        <f t="shared" si="1"/>
        <v>L</v>
      </c>
      <c r="O59" t="str">
        <f t="shared" si="1"/>
        <v>N/A</v>
      </c>
      <c r="P59" t="str">
        <f t="shared" si="1"/>
        <v>N/A</v>
      </c>
      <c r="Q59" s="19" t="str">
        <f t="shared" si="1"/>
        <v>H</v>
      </c>
      <c r="R59" s="23" t="str">
        <f t="shared" si="1"/>
        <v>M</v>
      </c>
      <c r="S59" t="str">
        <f t="shared" si="1"/>
        <v>H</v>
      </c>
      <c r="T59" t="str">
        <f t="shared" si="1"/>
        <v>E</v>
      </c>
      <c r="U59" t="str">
        <f t="shared" si="1"/>
        <v>M</v>
      </c>
      <c r="V59" t="str">
        <f t="shared" si="1"/>
        <v>N/A</v>
      </c>
      <c r="W59" t="str">
        <f t="shared" si="1"/>
        <v>N/A</v>
      </c>
      <c r="X59" s="19" t="str">
        <f t="shared" si="1"/>
        <v>E</v>
      </c>
      <c r="Y59" s="23" t="str">
        <f t="shared" si="1"/>
        <v>H</v>
      </c>
      <c r="Z59" t="str">
        <f t="shared" si="1"/>
        <v>E</v>
      </c>
      <c r="AA59" t="str">
        <f t="shared" si="1"/>
        <v>E</v>
      </c>
      <c r="AB59" t="str">
        <f t="shared" si="1"/>
        <v>E</v>
      </c>
      <c r="AC59" t="str">
        <f t="shared" si="1"/>
        <v>N/A</v>
      </c>
      <c r="AD59" t="str">
        <f t="shared" si="1"/>
        <v>N/A</v>
      </c>
      <c r="AE59" s="27" t="str">
        <f t="shared" si="1"/>
        <v>E</v>
      </c>
    </row>
    <row r="60" spans="1:32" ht="18" x14ac:dyDescent="0.35">
      <c r="H60" s="26">
        <v>3</v>
      </c>
      <c r="I60" s="329" t="s">
        <v>111</v>
      </c>
      <c r="J60" s="330" t="s">
        <v>119</v>
      </c>
      <c r="K60" s="103" t="str">
        <f t="shared" ref="K60:AE60" si="2">K33</f>
        <v>L</v>
      </c>
      <c r="L60" s="17" t="str">
        <f t="shared" si="2"/>
        <v>M</v>
      </c>
      <c r="M60" s="17" t="str">
        <f t="shared" si="2"/>
        <v>H</v>
      </c>
      <c r="N60" s="17" t="str">
        <f t="shared" si="2"/>
        <v>M</v>
      </c>
      <c r="O60" s="17" t="str">
        <f t="shared" si="2"/>
        <v>N/A</v>
      </c>
      <c r="P60" s="17" t="str">
        <f t="shared" si="2"/>
        <v>N/A</v>
      </c>
      <c r="Q60" s="97" t="str">
        <f t="shared" si="2"/>
        <v>H</v>
      </c>
      <c r="R60" s="103" t="str">
        <f t="shared" si="2"/>
        <v>H</v>
      </c>
      <c r="S60" s="17" t="str">
        <f t="shared" si="2"/>
        <v>H</v>
      </c>
      <c r="T60" s="17" t="str">
        <f t="shared" si="2"/>
        <v>E</v>
      </c>
      <c r="U60" s="17" t="str">
        <f t="shared" si="2"/>
        <v>H</v>
      </c>
      <c r="V60" s="17" t="str">
        <f t="shared" si="2"/>
        <v>N/A</v>
      </c>
      <c r="W60" s="17" t="str">
        <f t="shared" si="2"/>
        <v>N/A</v>
      </c>
      <c r="X60" s="97" t="str">
        <f t="shared" si="2"/>
        <v>E</v>
      </c>
      <c r="Y60" s="103" t="str">
        <f t="shared" si="2"/>
        <v>H</v>
      </c>
      <c r="Z60" s="17" t="str">
        <f t="shared" si="2"/>
        <v>H</v>
      </c>
      <c r="AA60" s="17" t="str">
        <f t="shared" si="2"/>
        <v>E</v>
      </c>
      <c r="AB60" s="17" t="str">
        <f t="shared" si="2"/>
        <v>E</v>
      </c>
      <c r="AC60" s="17" t="str">
        <f t="shared" si="2"/>
        <v>N/A</v>
      </c>
      <c r="AD60" s="17" t="str">
        <f t="shared" si="2"/>
        <v>N/A</v>
      </c>
      <c r="AE60" s="341" t="str">
        <f t="shared" si="2"/>
        <v>E</v>
      </c>
    </row>
    <row r="61" spans="1:32" ht="18" x14ac:dyDescent="0.35">
      <c r="H61" s="26">
        <v>4</v>
      </c>
      <c r="I61" s="331" t="s">
        <v>120</v>
      </c>
      <c r="J61" s="326" t="s">
        <v>210</v>
      </c>
      <c r="K61" s="23" t="str">
        <f t="shared" ref="K61:AE61" si="3">K34</f>
        <v>M</v>
      </c>
      <c r="L61" t="str">
        <f t="shared" si="3"/>
        <v>M</v>
      </c>
      <c r="M61" t="str">
        <f t="shared" si="3"/>
        <v>H</v>
      </c>
      <c r="N61" t="str">
        <f t="shared" si="3"/>
        <v>M</v>
      </c>
      <c r="O61" t="str">
        <f t="shared" si="3"/>
        <v>N/A</v>
      </c>
      <c r="P61" t="str">
        <f t="shared" si="3"/>
        <v>N/A</v>
      </c>
      <c r="Q61" s="19" t="str">
        <f t="shared" si="3"/>
        <v>M</v>
      </c>
      <c r="R61" s="23" t="str">
        <f t="shared" si="3"/>
        <v>H</v>
      </c>
      <c r="S61" t="str">
        <f t="shared" si="3"/>
        <v>M</v>
      </c>
      <c r="T61" t="str">
        <f t="shared" si="3"/>
        <v>E</v>
      </c>
      <c r="U61" t="str">
        <f t="shared" si="3"/>
        <v>H</v>
      </c>
      <c r="V61" t="str">
        <f t="shared" si="3"/>
        <v>N/A</v>
      </c>
      <c r="W61" t="str">
        <f t="shared" si="3"/>
        <v>N/A</v>
      </c>
      <c r="X61" s="19" t="str">
        <f t="shared" si="3"/>
        <v>H</v>
      </c>
      <c r="Y61" s="23" t="str">
        <f t="shared" si="3"/>
        <v>E</v>
      </c>
      <c r="Z61" t="str">
        <f t="shared" si="3"/>
        <v>H</v>
      </c>
      <c r="AA61" t="str">
        <f t="shared" si="3"/>
        <v>E</v>
      </c>
      <c r="AB61" t="str">
        <f t="shared" si="3"/>
        <v>E</v>
      </c>
      <c r="AC61" t="str">
        <f t="shared" si="3"/>
        <v>N/A</v>
      </c>
      <c r="AD61" t="str">
        <f t="shared" si="3"/>
        <v>N/A</v>
      </c>
      <c r="AE61" s="27" t="str">
        <f t="shared" si="3"/>
        <v>E</v>
      </c>
    </row>
    <row r="62" spans="1:32" ht="18" x14ac:dyDescent="0.35">
      <c r="H62" s="26">
        <v>5</v>
      </c>
      <c r="I62" s="332" t="s">
        <v>120</v>
      </c>
      <c r="J62" s="328" t="s">
        <v>218</v>
      </c>
      <c r="K62" s="23" t="str">
        <f t="shared" ref="K62:AE62" si="4">K35</f>
        <v>M</v>
      </c>
      <c r="L62" t="str">
        <f t="shared" si="4"/>
        <v>M</v>
      </c>
      <c r="M62" t="str">
        <f t="shared" si="4"/>
        <v>H</v>
      </c>
      <c r="N62" t="str">
        <f t="shared" si="4"/>
        <v>L</v>
      </c>
      <c r="O62" t="str">
        <f t="shared" si="4"/>
        <v>N/A</v>
      </c>
      <c r="P62" t="str">
        <f t="shared" si="4"/>
        <v>M</v>
      </c>
      <c r="Q62" s="19" t="str">
        <f t="shared" si="4"/>
        <v>M</v>
      </c>
      <c r="R62" s="23" t="str">
        <f t="shared" si="4"/>
        <v>H</v>
      </c>
      <c r="S62" t="str">
        <f t="shared" si="4"/>
        <v>M</v>
      </c>
      <c r="T62" t="str">
        <f t="shared" si="4"/>
        <v>E</v>
      </c>
      <c r="U62" t="str">
        <f t="shared" si="4"/>
        <v>M</v>
      </c>
      <c r="V62" t="str">
        <f t="shared" si="4"/>
        <v>N/A</v>
      </c>
      <c r="W62" t="str">
        <f t="shared" si="4"/>
        <v>H</v>
      </c>
      <c r="X62" s="19" t="str">
        <f t="shared" si="4"/>
        <v>H</v>
      </c>
      <c r="Y62" s="23" t="str">
        <f t="shared" si="4"/>
        <v>E</v>
      </c>
      <c r="Z62" t="str">
        <f t="shared" si="4"/>
        <v>H</v>
      </c>
      <c r="AA62" t="str">
        <f t="shared" si="4"/>
        <v>E</v>
      </c>
      <c r="AB62" t="str">
        <f t="shared" si="4"/>
        <v>M</v>
      </c>
      <c r="AC62" t="str">
        <f t="shared" si="4"/>
        <v>N/A</v>
      </c>
      <c r="AD62" t="str">
        <f t="shared" si="4"/>
        <v>H</v>
      </c>
      <c r="AE62" s="27" t="str">
        <f t="shared" si="4"/>
        <v>H</v>
      </c>
    </row>
    <row r="63" spans="1:32" ht="18" x14ac:dyDescent="0.35">
      <c r="H63" s="26">
        <v>6</v>
      </c>
      <c r="I63" s="332" t="s">
        <v>120</v>
      </c>
      <c r="J63" s="328" t="s">
        <v>220</v>
      </c>
      <c r="K63" s="23" t="str">
        <f t="shared" ref="K63:AE63" si="5">K36</f>
        <v>M</v>
      </c>
      <c r="L63" t="str">
        <f t="shared" si="5"/>
        <v>M</v>
      </c>
      <c r="M63" t="str">
        <f t="shared" si="5"/>
        <v>H</v>
      </c>
      <c r="N63" t="str">
        <f t="shared" si="5"/>
        <v>M</v>
      </c>
      <c r="O63" t="str">
        <f t="shared" si="5"/>
        <v>N/A</v>
      </c>
      <c r="P63" t="str">
        <f t="shared" si="5"/>
        <v>N/A</v>
      </c>
      <c r="Q63" s="19" t="str">
        <f t="shared" si="5"/>
        <v>M</v>
      </c>
      <c r="R63" s="23" t="str">
        <f t="shared" si="5"/>
        <v>H</v>
      </c>
      <c r="S63" t="str">
        <f t="shared" si="5"/>
        <v>M</v>
      </c>
      <c r="T63" t="str">
        <f t="shared" si="5"/>
        <v>E</v>
      </c>
      <c r="U63" t="str">
        <f t="shared" si="5"/>
        <v>H</v>
      </c>
      <c r="V63" t="str">
        <f t="shared" si="5"/>
        <v>N/A</v>
      </c>
      <c r="W63" t="str">
        <f t="shared" si="5"/>
        <v>N/A</v>
      </c>
      <c r="X63" s="19" t="str">
        <f t="shared" si="5"/>
        <v>H</v>
      </c>
      <c r="Y63" s="23" t="str">
        <f t="shared" si="5"/>
        <v>E</v>
      </c>
      <c r="Z63" t="str">
        <f t="shared" si="5"/>
        <v>H</v>
      </c>
      <c r="AA63" t="str">
        <f t="shared" si="5"/>
        <v>E</v>
      </c>
      <c r="AB63" t="str">
        <f t="shared" si="5"/>
        <v>E</v>
      </c>
      <c r="AC63" t="str">
        <f t="shared" si="5"/>
        <v>N/A</v>
      </c>
      <c r="AD63" t="str">
        <f t="shared" si="5"/>
        <v>N/A</v>
      </c>
      <c r="AE63" s="27" t="str">
        <f t="shared" si="5"/>
        <v>H</v>
      </c>
    </row>
    <row r="64" spans="1:32" ht="18" x14ac:dyDescent="0.35">
      <c r="H64" s="26">
        <v>7</v>
      </c>
      <c r="I64" s="332" t="s">
        <v>120</v>
      </c>
      <c r="J64" s="328" t="s">
        <v>67</v>
      </c>
      <c r="K64" s="23" t="str">
        <f t="shared" ref="K64:AE64" si="6">K37</f>
        <v>L</v>
      </c>
      <c r="L64" t="str">
        <f t="shared" si="6"/>
        <v>M</v>
      </c>
      <c r="M64" t="str">
        <f t="shared" si="6"/>
        <v>H</v>
      </c>
      <c r="N64" t="str">
        <f t="shared" si="6"/>
        <v>L</v>
      </c>
      <c r="O64" t="str">
        <f t="shared" si="6"/>
        <v>N/A</v>
      </c>
      <c r="P64" t="str">
        <f t="shared" si="6"/>
        <v>N/A</v>
      </c>
      <c r="Q64" s="19" t="str">
        <f t="shared" si="6"/>
        <v>L</v>
      </c>
      <c r="R64" s="23" t="str">
        <f t="shared" si="6"/>
        <v>L</v>
      </c>
      <c r="S64" t="str">
        <f t="shared" si="6"/>
        <v>M</v>
      </c>
      <c r="T64" t="str">
        <f t="shared" si="6"/>
        <v>E</v>
      </c>
      <c r="U64" t="str">
        <f t="shared" si="6"/>
        <v>M</v>
      </c>
      <c r="V64" t="str">
        <f t="shared" si="6"/>
        <v>N/A</v>
      </c>
      <c r="W64" t="str">
        <f t="shared" si="6"/>
        <v>N/A</v>
      </c>
      <c r="X64" s="19" t="str">
        <f t="shared" si="6"/>
        <v>L</v>
      </c>
      <c r="Y64" s="23" t="str">
        <f t="shared" si="6"/>
        <v>M</v>
      </c>
      <c r="Z64" t="str">
        <f t="shared" si="6"/>
        <v>H</v>
      </c>
      <c r="AA64" t="str">
        <f t="shared" si="6"/>
        <v>E</v>
      </c>
      <c r="AB64" t="str">
        <f t="shared" si="6"/>
        <v>M</v>
      </c>
      <c r="AC64" t="str">
        <f t="shared" si="6"/>
        <v>N/A</v>
      </c>
      <c r="AD64" t="str">
        <f t="shared" si="6"/>
        <v>N/A</v>
      </c>
      <c r="AE64" s="27" t="str">
        <f t="shared" si="6"/>
        <v>H</v>
      </c>
    </row>
    <row r="65" spans="8:31" ht="18" x14ac:dyDescent="0.35">
      <c r="H65" s="26">
        <v>8</v>
      </c>
      <c r="I65" s="332" t="s">
        <v>120</v>
      </c>
      <c r="J65" s="328" t="s">
        <v>121</v>
      </c>
      <c r="K65" s="23" t="str">
        <f t="shared" ref="K65:AE65" si="7">K38</f>
        <v>L</v>
      </c>
      <c r="L65" t="str">
        <f t="shared" si="7"/>
        <v>M</v>
      </c>
      <c r="M65" t="str">
        <f t="shared" si="7"/>
        <v>H</v>
      </c>
      <c r="N65" t="str">
        <f t="shared" si="7"/>
        <v>L</v>
      </c>
      <c r="O65" t="str">
        <f t="shared" si="7"/>
        <v>N/A</v>
      </c>
      <c r="P65" t="str">
        <f t="shared" si="7"/>
        <v>N/A</v>
      </c>
      <c r="Q65" s="19" t="str">
        <f t="shared" si="7"/>
        <v>M</v>
      </c>
      <c r="R65" s="23" t="str">
        <f t="shared" si="7"/>
        <v>L</v>
      </c>
      <c r="S65" t="str">
        <f t="shared" si="7"/>
        <v>M</v>
      </c>
      <c r="T65" t="str">
        <f t="shared" si="7"/>
        <v>E</v>
      </c>
      <c r="U65" t="str">
        <f t="shared" si="7"/>
        <v>M</v>
      </c>
      <c r="V65" t="str">
        <f t="shared" si="7"/>
        <v>N/A</v>
      </c>
      <c r="W65" t="str">
        <f t="shared" si="7"/>
        <v>N/A</v>
      </c>
      <c r="X65" s="19" t="str">
        <f t="shared" si="7"/>
        <v>H</v>
      </c>
      <c r="Y65" s="23" t="str">
        <f t="shared" si="7"/>
        <v>H</v>
      </c>
      <c r="Z65" t="str">
        <f t="shared" si="7"/>
        <v>H</v>
      </c>
      <c r="AA65" t="str">
        <f t="shared" si="7"/>
        <v>E</v>
      </c>
      <c r="AB65" t="str">
        <f t="shared" si="7"/>
        <v>M</v>
      </c>
      <c r="AC65" t="str">
        <f t="shared" si="7"/>
        <v>N/A</v>
      </c>
      <c r="AD65" t="str">
        <f t="shared" si="7"/>
        <v>N/A</v>
      </c>
      <c r="AE65" s="27" t="str">
        <f t="shared" si="7"/>
        <v>H</v>
      </c>
    </row>
    <row r="66" spans="8:31" ht="18" x14ac:dyDescent="0.35">
      <c r="H66" s="26">
        <v>9</v>
      </c>
      <c r="I66" s="332" t="s">
        <v>120</v>
      </c>
      <c r="J66" s="328" t="s">
        <v>70</v>
      </c>
      <c r="K66" s="23" t="str">
        <f t="shared" ref="K66:AE66" si="8">K39</f>
        <v>L</v>
      </c>
      <c r="L66" t="str">
        <f t="shared" si="8"/>
        <v>M</v>
      </c>
      <c r="M66" t="str">
        <f t="shared" si="8"/>
        <v>H</v>
      </c>
      <c r="N66" t="str">
        <f t="shared" si="8"/>
        <v>L</v>
      </c>
      <c r="O66" t="str">
        <f t="shared" si="8"/>
        <v>N/A</v>
      </c>
      <c r="P66" t="str">
        <f t="shared" si="8"/>
        <v>N/A</v>
      </c>
      <c r="Q66" s="19" t="str">
        <f t="shared" si="8"/>
        <v>M</v>
      </c>
      <c r="R66" s="23" t="str">
        <f t="shared" si="8"/>
        <v>M</v>
      </c>
      <c r="S66" t="str">
        <f t="shared" si="8"/>
        <v>M</v>
      </c>
      <c r="T66" t="str">
        <f t="shared" si="8"/>
        <v>E</v>
      </c>
      <c r="U66" t="str">
        <f t="shared" si="8"/>
        <v>M</v>
      </c>
      <c r="V66" t="str">
        <f t="shared" si="8"/>
        <v>N/A</v>
      </c>
      <c r="W66" t="str">
        <f t="shared" si="8"/>
        <v>N/A</v>
      </c>
      <c r="X66" s="19" t="str">
        <f t="shared" si="8"/>
        <v>H</v>
      </c>
      <c r="Y66" s="23" t="str">
        <f t="shared" si="8"/>
        <v>E</v>
      </c>
      <c r="Z66" t="str">
        <f t="shared" si="8"/>
        <v>H</v>
      </c>
      <c r="AA66" t="str">
        <f t="shared" si="8"/>
        <v>E</v>
      </c>
      <c r="AB66" t="str">
        <f t="shared" si="8"/>
        <v>H</v>
      </c>
      <c r="AC66" t="str">
        <f t="shared" si="8"/>
        <v>N/A</v>
      </c>
      <c r="AD66" t="str">
        <f t="shared" si="8"/>
        <v>N/A</v>
      </c>
      <c r="AE66" s="27" t="str">
        <f t="shared" si="8"/>
        <v>H</v>
      </c>
    </row>
    <row r="67" spans="8:31" ht="18" x14ac:dyDescent="0.35">
      <c r="H67" s="26">
        <v>10</v>
      </c>
      <c r="I67" s="332" t="s">
        <v>120</v>
      </c>
      <c r="J67" s="328" t="s">
        <v>223</v>
      </c>
      <c r="K67" s="23" t="str">
        <f t="shared" ref="K67:AE67" si="9">K40</f>
        <v>L</v>
      </c>
      <c r="L67" t="str">
        <f t="shared" si="9"/>
        <v>M</v>
      </c>
      <c r="M67" t="str">
        <f t="shared" si="9"/>
        <v>H</v>
      </c>
      <c r="N67" t="str">
        <f t="shared" si="9"/>
        <v>L</v>
      </c>
      <c r="O67" t="str">
        <f t="shared" si="9"/>
        <v>N/A</v>
      </c>
      <c r="P67" t="str">
        <f t="shared" si="9"/>
        <v>N/A</v>
      </c>
      <c r="Q67" s="19" t="str">
        <f t="shared" si="9"/>
        <v>M</v>
      </c>
      <c r="R67" s="23" t="str">
        <f t="shared" si="9"/>
        <v>H</v>
      </c>
      <c r="S67" t="str">
        <f t="shared" si="9"/>
        <v>M</v>
      </c>
      <c r="T67" t="str">
        <f t="shared" si="9"/>
        <v>E</v>
      </c>
      <c r="U67" t="str">
        <f t="shared" si="9"/>
        <v>L</v>
      </c>
      <c r="V67" t="str">
        <f t="shared" si="9"/>
        <v>N/A</v>
      </c>
      <c r="W67" t="str">
        <f t="shared" si="9"/>
        <v>N/A</v>
      </c>
      <c r="X67" s="19" t="str">
        <f t="shared" si="9"/>
        <v>H</v>
      </c>
      <c r="Y67" s="23" t="str">
        <f t="shared" si="9"/>
        <v>E</v>
      </c>
      <c r="Z67" t="str">
        <f t="shared" si="9"/>
        <v>H</v>
      </c>
      <c r="AA67" t="str">
        <f t="shared" si="9"/>
        <v>E</v>
      </c>
      <c r="AB67" t="str">
        <f t="shared" si="9"/>
        <v>M</v>
      </c>
      <c r="AC67" t="str">
        <f t="shared" si="9"/>
        <v>N/A</v>
      </c>
      <c r="AD67" t="str">
        <f t="shared" si="9"/>
        <v>N/A</v>
      </c>
      <c r="AE67" s="27" t="str">
        <f t="shared" si="9"/>
        <v>H</v>
      </c>
    </row>
    <row r="68" spans="8:31" ht="18" x14ac:dyDescent="0.35">
      <c r="H68" s="26">
        <v>11</v>
      </c>
      <c r="I68" s="332" t="s">
        <v>120</v>
      </c>
      <c r="J68" s="328" t="s">
        <v>122</v>
      </c>
      <c r="K68" s="23" t="str">
        <f t="shared" ref="K68:AE68" si="10">K41</f>
        <v>L</v>
      </c>
      <c r="L68" t="str">
        <f t="shared" si="10"/>
        <v>L</v>
      </c>
      <c r="M68" t="str">
        <f t="shared" si="10"/>
        <v>M</v>
      </c>
      <c r="N68" t="str">
        <f t="shared" si="10"/>
        <v>M</v>
      </c>
      <c r="O68" t="str">
        <f t="shared" si="10"/>
        <v>N/A</v>
      </c>
      <c r="P68" t="str">
        <f t="shared" si="10"/>
        <v>N/A</v>
      </c>
      <c r="Q68" s="19" t="str">
        <f t="shared" si="10"/>
        <v>M</v>
      </c>
      <c r="R68" s="23" t="str">
        <f t="shared" si="10"/>
        <v>M</v>
      </c>
      <c r="S68" t="str">
        <f t="shared" si="10"/>
        <v>M</v>
      </c>
      <c r="T68" t="str">
        <f t="shared" si="10"/>
        <v>H</v>
      </c>
      <c r="U68" t="str">
        <f t="shared" si="10"/>
        <v>H</v>
      </c>
      <c r="V68" t="str">
        <f t="shared" si="10"/>
        <v>N/A</v>
      </c>
      <c r="W68" t="str">
        <f t="shared" si="10"/>
        <v>N/A</v>
      </c>
      <c r="X68" s="19" t="str">
        <f t="shared" si="10"/>
        <v>H</v>
      </c>
      <c r="Y68" s="23" t="str">
        <f t="shared" si="10"/>
        <v>H</v>
      </c>
      <c r="Z68" t="str">
        <f t="shared" si="10"/>
        <v>H</v>
      </c>
      <c r="AA68" t="str">
        <f t="shared" si="10"/>
        <v>E</v>
      </c>
      <c r="AB68" t="str">
        <f t="shared" si="10"/>
        <v>E</v>
      </c>
      <c r="AC68" t="str">
        <f t="shared" si="10"/>
        <v>N/A</v>
      </c>
      <c r="AD68" t="str">
        <f t="shared" si="10"/>
        <v>N/A</v>
      </c>
      <c r="AE68" s="27" t="str">
        <f t="shared" si="10"/>
        <v>E</v>
      </c>
    </row>
    <row r="69" spans="8:31" ht="18" x14ac:dyDescent="0.35">
      <c r="H69" s="26">
        <v>12</v>
      </c>
      <c r="I69" s="332" t="s">
        <v>120</v>
      </c>
      <c r="J69" s="328" t="s">
        <v>224</v>
      </c>
      <c r="K69" s="23" t="str">
        <f t="shared" ref="K69:AE69" si="11">K42</f>
        <v>M</v>
      </c>
      <c r="L69" t="str">
        <f t="shared" si="11"/>
        <v>H</v>
      </c>
      <c r="M69" t="str">
        <f t="shared" si="11"/>
        <v>H</v>
      </c>
      <c r="N69" t="str">
        <f t="shared" si="11"/>
        <v>N/A</v>
      </c>
      <c r="O69" t="str">
        <f t="shared" si="11"/>
        <v>N/A</v>
      </c>
      <c r="P69" t="str">
        <f t="shared" si="11"/>
        <v>N/A</v>
      </c>
      <c r="Q69" s="19" t="str">
        <f t="shared" si="11"/>
        <v>L</v>
      </c>
      <c r="R69" s="23" t="str">
        <f t="shared" si="11"/>
        <v>H</v>
      </c>
      <c r="S69" t="str">
        <f t="shared" si="11"/>
        <v>H</v>
      </c>
      <c r="T69" t="str">
        <f t="shared" si="11"/>
        <v>E</v>
      </c>
      <c r="U69" t="str">
        <f t="shared" si="11"/>
        <v>N/A</v>
      </c>
      <c r="V69" t="str">
        <f t="shared" si="11"/>
        <v>N/A</v>
      </c>
      <c r="W69" t="str">
        <f t="shared" si="11"/>
        <v>N/A</v>
      </c>
      <c r="X69" s="19" t="str">
        <f t="shared" si="11"/>
        <v>L</v>
      </c>
      <c r="Y69" s="23" t="str">
        <f t="shared" si="11"/>
        <v>E</v>
      </c>
      <c r="Z69" t="str">
        <f t="shared" si="11"/>
        <v>E</v>
      </c>
      <c r="AA69" t="str">
        <f t="shared" si="11"/>
        <v>E</v>
      </c>
      <c r="AB69" t="str">
        <f t="shared" si="11"/>
        <v>N/A</v>
      </c>
      <c r="AC69" t="str">
        <f t="shared" si="11"/>
        <v>N/A</v>
      </c>
      <c r="AD69" t="str">
        <f t="shared" si="11"/>
        <v>N/A</v>
      </c>
      <c r="AE69" s="27" t="str">
        <f t="shared" si="11"/>
        <v>M</v>
      </c>
    </row>
    <row r="70" spans="8:31" ht="18" x14ac:dyDescent="0.35">
      <c r="H70" s="26">
        <v>13</v>
      </c>
      <c r="I70" s="332" t="s">
        <v>120</v>
      </c>
      <c r="J70" s="328" t="s">
        <v>212</v>
      </c>
      <c r="K70" s="23" t="str">
        <f t="shared" ref="K70:AE70" si="12">K43</f>
        <v>M</v>
      </c>
      <c r="L70" t="str">
        <f t="shared" si="12"/>
        <v>M</v>
      </c>
      <c r="M70" t="str">
        <f t="shared" si="12"/>
        <v>H</v>
      </c>
      <c r="N70" t="str">
        <f t="shared" si="12"/>
        <v>M</v>
      </c>
      <c r="O70" t="str">
        <f t="shared" si="12"/>
        <v>N/A</v>
      </c>
      <c r="P70" t="str">
        <f t="shared" si="12"/>
        <v>N/A</v>
      </c>
      <c r="Q70" s="19" t="str">
        <f t="shared" si="12"/>
        <v>M</v>
      </c>
      <c r="R70" s="23" t="str">
        <f t="shared" si="12"/>
        <v>H</v>
      </c>
      <c r="S70" t="str">
        <f t="shared" si="12"/>
        <v>M</v>
      </c>
      <c r="T70" t="str">
        <f t="shared" si="12"/>
        <v>E</v>
      </c>
      <c r="U70" t="str">
        <f t="shared" si="12"/>
        <v>H</v>
      </c>
      <c r="V70" t="str">
        <f t="shared" si="12"/>
        <v>N/A</v>
      </c>
      <c r="W70" t="str">
        <f t="shared" si="12"/>
        <v>N/A</v>
      </c>
      <c r="X70" s="19" t="str">
        <f t="shared" si="12"/>
        <v>H</v>
      </c>
      <c r="Y70" s="23" t="str">
        <f t="shared" si="12"/>
        <v>E</v>
      </c>
      <c r="Z70" t="str">
        <f t="shared" si="12"/>
        <v>H</v>
      </c>
      <c r="AA70" t="str">
        <f t="shared" si="12"/>
        <v>E</v>
      </c>
      <c r="AB70" t="str">
        <f t="shared" si="12"/>
        <v>E</v>
      </c>
      <c r="AC70" t="str">
        <f t="shared" si="12"/>
        <v>N/A</v>
      </c>
      <c r="AD70" t="str">
        <f t="shared" si="12"/>
        <v>N/A</v>
      </c>
      <c r="AE70" s="27" t="str">
        <f t="shared" si="12"/>
        <v>H</v>
      </c>
    </row>
    <row r="71" spans="8:31" ht="18" x14ac:dyDescent="0.35">
      <c r="H71" s="26">
        <v>14</v>
      </c>
      <c r="I71" s="332" t="s">
        <v>120</v>
      </c>
      <c r="J71" s="328" t="s">
        <v>74</v>
      </c>
      <c r="K71" s="23" t="str">
        <f t="shared" ref="K71:AE71" si="13">K44</f>
        <v>L</v>
      </c>
      <c r="L71" t="str">
        <f t="shared" si="13"/>
        <v>M</v>
      </c>
      <c r="M71" t="str">
        <f t="shared" si="13"/>
        <v>M</v>
      </c>
      <c r="N71" t="str">
        <f t="shared" si="13"/>
        <v>N/A</v>
      </c>
      <c r="O71" t="str">
        <f t="shared" si="13"/>
        <v>N/A</v>
      </c>
      <c r="P71" t="str">
        <f t="shared" si="13"/>
        <v>N/A</v>
      </c>
      <c r="Q71" s="19" t="str">
        <f t="shared" si="13"/>
        <v>M</v>
      </c>
      <c r="R71" s="23" t="str">
        <f t="shared" si="13"/>
        <v>M</v>
      </c>
      <c r="S71" t="str">
        <f t="shared" si="13"/>
        <v>M</v>
      </c>
      <c r="T71" t="str">
        <f t="shared" si="13"/>
        <v>H</v>
      </c>
      <c r="U71" t="str">
        <f t="shared" si="13"/>
        <v>N/A</v>
      </c>
      <c r="V71" t="str">
        <f t="shared" si="13"/>
        <v>N/A</v>
      </c>
      <c r="W71" t="str">
        <f t="shared" si="13"/>
        <v>N/A</v>
      </c>
      <c r="X71" s="19" t="str">
        <f t="shared" si="13"/>
        <v>H</v>
      </c>
      <c r="Y71" s="23" t="str">
        <f t="shared" si="13"/>
        <v>H</v>
      </c>
      <c r="Z71" t="str">
        <f t="shared" si="13"/>
        <v>E</v>
      </c>
      <c r="AA71" t="str">
        <f t="shared" si="13"/>
        <v>E</v>
      </c>
      <c r="AB71" t="str">
        <f t="shared" si="13"/>
        <v>N/A</v>
      </c>
      <c r="AC71" t="str">
        <f t="shared" si="13"/>
        <v>N/A</v>
      </c>
      <c r="AD71" t="str">
        <f t="shared" si="13"/>
        <v>N/A</v>
      </c>
      <c r="AE71" s="27" t="str">
        <f t="shared" si="13"/>
        <v>H</v>
      </c>
    </row>
    <row r="72" spans="8:31" ht="18" x14ac:dyDescent="0.35">
      <c r="H72" s="26">
        <v>15</v>
      </c>
      <c r="I72" s="331" t="s">
        <v>46</v>
      </c>
      <c r="J72" s="326" t="s">
        <v>227</v>
      </c>
      <c r="K72" s="21" t="str">
        <f t="shared" ref="K72:AE72" si="14">K45</f>
        <v>L</v>
      </c>
      <c r="L72" s="50" t="str">
        <f t="shared" si="14"/>
        <v>H</v>
      </c>
      <c r="M72" s="50" t="str">
        <f t="shared" si="14"/>
        <v>H</v>
      </c>
      <c r="N72" s="50" t="str">
        <f t="shared" si="14"/>
        <v>M</v>
      </c>
      <c r="O72" s="50" t="str">
        <f t="shared" si="14"/>
        <v>N/A</v>
      </c>
      <c r="P72" s="50" t="str">
        <f t="shared" si="14"/>
        <v>N/A</v>
      </c>
      <c r="Q72" s="95" t="str">
        <f t="shared" si="14"/>
        <v>M</v>
      </c>
      <c r="R72" s="21" t="str">
        <f t="shared" si="14"/>
        <v>L</v>
      </c>
      <c r="S72" s="50" t="str">
        <f t="shared" si="14"/>
        <v>H</v>
      </c>
      <c r="T72" s="50" t="str">
        <f t="shared" si="14"/>
        <v>E</v>
      </c>
      <c r="U72" s="50" t="str">
        <f t="shared" si="14"/>
        <v>H</v>
      </c>
      <c r="V72" s="50" t="str">
        <f t="shared" si="14"/>
        <v>N/A</v>
      </c>
      <c r="W72" s="50" t="str">
        <f t="shared" si="14"/>
        <v>N/A</v>
      </c>
      <c r="X72" s="95" t="str">
        <f t="shared" si="14"/>
        <v>H</v>
      </c>
      <c r="Y72" s="21" t="str">
        <f t="shared" si="14"/>
        <v>M</v>
      </c>
      <c r="Z72" s="50" t="str">
        <f t="shared" si="14"/>
        <v>H</v>
      </c>
      <c r="AA72" s="50" t="str">
        <f t="shared" si="14"/>
        <v>E</v>
      </c>
      <c r="AB72" s="50" t="str">
        <f t="shared" si="14"/>
        <v>E</v>
      </c>
      <c r="AC72" s="50" t="str">
        <f t="shared" si="14"/>
        <v>N/A</v>
      </c>
      <c r="AD72" s="50" t="str">
        <f t="shared" si="14"/>
        <v>N/A</v>
      </c>
      <c r="AE72" s="342" t="str">
        <f t="shared" si="14"/>
        <v>E</v>
      </c>
    </row>
    <row r="73" spans="8:31" ht="18" x14ac:dyDescent="0.35">
      <c r="H73" s="26">
        <v>16</v>
      </c>
      <c r="I73" s="332" t="s">
        <v>46</v>
      </c>
      <c r="J73" s="328" t="s">
        <v>226</v>
      </c>
      <c r="K73" s="23" t="str">
        <f t="shared" ref="K73:AE73" si="15">K46</f>
        <v>L</v>
      </c>
      <c r="L73" t="str">
        <f t="shared" si="15"/>
        <v>H</v>
      </c>
      <c r="M73" t="str">
        <f t="shared" si="15"/>
        <v>H</v>
      </c>
      <c r="N73" t="str">
        <f t="shared" si="15"/>
        <v>L</v>
      </c>
      <c r="O73" t="str">
        <f t="shared" si="15"/>
        <v>M</v>
      </c>
      <c r="P73" t="str">
        <f t="shared" si="15"/>
        <v>M</v>
      </c>
      <c r="Q73" s="19" t="str">
        <f t="shared" si="15"/>
        <v>M</v>
      </c>
      <c r="R73" s="23" t="str">
        <f t="shared" si="15"/>
        <v>L</v>
      </c>
      <c r="S73" t="str">
        <f t="shared" si="15"/>
        <v>H</v>
      </c>
      <c r="T73" t="str">
        <f t="shared" si="15"/>
        <v>E</v>
      </c>
      <c r="U73" t="str">
        <f t="shared" si="15"/>
        <v>L</v>
      </c>
      <c r="V73" t="str">
        <f t="shared" si="15"/>
        <v>H</v>
      </c>
      <c r="W73" t="str">
        <f t="shared" si="15"/>
        <v>H</v>
      </c>
      <c r="X73" s="19" t="str">
        <f t="shared" si="15"/>
        <v>H</v>
      </c>
      <c r="Y73" s="23" t="str">
        <f t="shared" si="15"/>
        <v>M</v>
      </c>
      <c r="Z73" t="str">
        <f t="shared" si="15"/>
        <v>H</v>
      </c>
      <c r="AA73" t="str">
        <f t="shared" si="15"/>
        <v>E</v>
      </c>
      <c r="AB73" t="str">
        <f t="shared" si="15"/>
        <v>L</v>
      </c>
      <c r="AC73" t="str">
        <f t="shared" si="15"/>
        <v>E</v>
      </c>
      <c r="AD73" t="str">
        <f t="shared" si="15"/>
        <v>E</v>
      </c>
      <c r="AE73" s="27" t="str">
        <f t="shared" si="15"/>
        <v>E</v>
      </c>
    </row>
    <row r="74" spans="8:31" ht="18" x14ac:dyDescent="0.35">
      <c r="H74" s="26">
        <v>17</v>
      </c>
      <c r="I74" s="332" t="s">
        <v>46</v>
      </c>
      <c r="J74" s="328" t="s">
        <v>225</v>
      </c>
      <c r="K74" s="23" t="str">
        <f t="shared" ref="K74:AE74" si="16">K47</f>
        <v>L</v>
      </c>
      <c r="L74" t="str">
        <f t="shared" si="16"/>
        <v>H</v>
      </c>
      <c r="M74" t="str">
        <f t="shared" si="16"/>
        <v>H</v>
      </c>
      <c r="N74" t="str">
        <f t="shared" si="16"/>
        <v>M</v>
      </c>
      <c r="O74" t="str">
        <f t="shared" si="16"/>
        <v>N/A</v>
      </c>
      <c r="P74" t="str">
        <f t="shared" si="16"/>
        <v>N/A</v>
      </c>
      <c r="Q74" s="19" t="str">
        <f t="shared" si="16"/>
        <v>M</v>
      </c>
      <c r="R74" s="23" t="str">
        <f t="shared" si="16"/>
        <v>L</v>
      </c>
      <c r="S74" t="str">
        <f t="shared" si="16"/>
        <v>H</v>
      </c>
      <c r="T74" t="str">
        <f t="shared" si="16"/>
        <v>E</v>
      </c>
      <c r="U74" t="str">
        <f t="shared" si="16"/>
        <v>H</v>
      </c>
      <c r="V74" t="str">
        <f t="shared" si="16"/>
        <v>N/A</v>
      </c>
      <c r="W74" t="str">
        <f t="shared" si="16"/>
        <v>N/A</v>
      </c>
      <c r="X74" s="19" t="str">
        <f t="shared" si="16"/>
        <v>H</v>
      </c>
      <c r="Y74" s="23" t="str">
        <f t="shared" si="16"/>
        <v>H</v>
      </c>
      <c r="Z74" t="str">
        <f t="shared" si="16"/>
        <v>H</v>
      </c>
      <c r="AA74" t="str">
        <f t="shared" si="16"/>
        <v>E</v>
      </c>
      <c r="AB74" t="str">
        <f t="shared" si="16"/>
        <v>E</v>
      </c>
      <c r="AC74" t="str">
        <f t="shared" si="16"/>
        <v>N/A</v>
      </c>
      <c r="AD74" t="str">
        <f t="shared" si="16"/>
        <v>N/A</v>
      </c>
      <c r="AE74" s="27" t="str">
        <f t="shared" si="16"/>
        <v>E</v>
      </c>
    </row>
    <row r="75" spans="8:31" ht="18" x14ac:dyDescent="0.35">
      <c r="H75" s="26">
        <v>18</v>
      </c>
      <c r="I75" s="332" t="s">
        <v>46</v>
      </c>
      <c r="J75" s="328" t="s">
        <v>79</v>
      </c>
      <c r="K75" s="23" t="str">
        <f t="shared" ref="K75:AE75" si="17">K48</f>
        <v>M</v>
      </c>
      <c r="L75" t="str">
        <f t="shared" si="17"/>
        <v>H</v>
      </c>
      <c r="M75" t="str">
        <f t="shared" si="17"/>
        <v>H</v>
      </c>
      <c r="N75" t="str">
        <f t="shared" si="17"/>
        <v>L</v>
      </c>
      <c r="O75" t="str">
        <f t="shared" si="17"/>
        <v>L</v>
      </c>
      <c r="P75" t="str">
        <f t="shared" si="17"/>
        <v>L</v>
      </c>
      <c r="Q75" s="19" t="str">
        <f t="shared" si="17"/>
        <v>M</v>
      </c>
      <c r="R75" s="23" t="str">
        <f t="shared" si="17"/>
        <v>H</v>
      </c>
      <c r="S75" t="str">
        <f t="shared" si="17"/>
        <v>H</v>
      </c>
      <c r="T75" t="str">
        <f t="shared" si="17"/>
        <v>E</v>
      </c>
      <c r="U75" t="str">
        <f t="shared" si="17"/>
        <v>L</v>
      </c>
      <c r="V75" t="str">
        <f t="shared" si="17"/>
        <v>H</v>
      </c>
      <c r="W75" t="str">
        <f t="shared" si="17"/>
        <v>H</v>
      </c>
      <c r="X75" s="19" t="str">
        <f t="shared" si="17"/>
        <v>H</v>
      </c>
      <c r="Y75" s="23" t="str">
        <f t="shared" si="17"/>
        <v>E</v>
      </c>
      <c r="Z75" t="str">
        <f t="shared" si="17"/>
        <v>H</v>
      </c>
      <c r="AA75" t="str">
        <f t="shared" si="17"/>
        <v>E</v>
      </c>
      <c r="AB75" t="str">
        <f t="shared" si="17"/>
        <v>L</v>
      </c>
      <c r="AC75" t="str">
        <f t="shared" si="17"/>
        <v>E</v>
      </c>
      <c r="AD75" t="str">
        <f t="shared" si="17"/>
        <v>E</v>
      </c>
      <c r="AE75" s="27" t="str">
        <f t="shared" si="17"/>
        <v>E</v>
      </c>
    </row>
    <row r="76" spans="8:31" ht="18" x14ac:dyDescent="0.35">
      <c r="H76" s="26">
        <v>19</v>
      </c>
      <c r="I76" s="332" t="s">
        <v>46</v>
      </c>
      <c r="J76" s="328" t="s">
        <v>443</v>
      </c>
      <c r="K76" s="23" t="str">
        <f t="shared" ref="K76:AE76" si="18">K49</f>
        <v>M</v>
      </c>
      <c r="L76" t="str">
        <f t="shared" si="18"/>
        <v>H</v>
      </c>
      <c r="M76" t="str">
        <f t="shared" si="18"/>
        <v>H</v>
      </c>
      <c r="N76" t="str">
        <f t="shared" si="18"/>
        <v>L</v>
      </c>
      <c r="O76" t="str">
        <f t="shared" si="18"/>
        <v>N/A</v>
      </c>
      <c r="P76" t="str">
        <f t="shared" si="18"/>
        <v>N/A</v>
      </c>
      <c r="Q76" s="19" t="str">
        <f t="shared" si="18"/>
        <v>M</v>
      </c>
      <c r="R76" s="23" t="str">
        <f t="shared" si="18"/>
        <v>H</v>
      </c>
      <c r="S76" t="str">
        <f t="shared" si="18"/>
        <v>H</v>
      </c>
      <c r="T76" t="str">
        <f t="shared" si="18"/>
        <v>E</v>
      </c>
      <c r="U76" t="str">
        <f t="shared" si="18"/>
        <v>M</v>
      </c>
      <c r="V76" t="str">
        <f t="shared" si="18"/>
        <v>N/A</v>
      </c>
      <c r="W76" t="str">
        <f t="shared" si="18"/>
        <v>N/A</v>
      </c>
      <c r="X76" s="19" t="str">
        <f t="shared" si="18"/>
        <v>M</v>
      </c>
      <c r="Y76" s="23" t="str">
        <f t="shared" si="18"/>
        <v>H</v>
      </c>
      <c r="Z76" t="str">
        <f t="shared" si="18"/>
        <v>H</v>
      </c>
      <c r="AA76" t="str">
        <f t="shared" si="18"/>
        <v>E</v>
      </c>
      <c r="AB76" t="str">
        <f t="shared" si="18"/>
        <v>H</v>
      </c>
      <c r="AC76" t="str">
        <f t="shared" si="18"/>
        <v>N/A</v>
      </c>
      <c r="AD76" t="str">
        <f t="shared" si="18"/>
        <v>N/A</v>
      </c>
      <c r="AE76" s="27" t="str">
        <f t="shared" si="18"/>
        <v>M</v>
      </c>
    </row>
    <row r="77" spans="8:31" ht="18" x14ac:dyDescent="0.35">
      <c r="H77" s="26">
        <v>20</v>
      </c>
      <c r="I77" s="332" t="s">
        <v>46</v>
      </c>
      <c r="J77" s="328" t="s">
        <v>222</v>
      </c>
      <c r="K77" s="23" t="str">
        <f t="shared" ref="K77:AE77" si="19">K50</f>
        <v>M</v>
      </c>
      <c r="L77" t="str">
        <f t="shared" si="19"/>
        <v>H</v>
      </c>
      <c r="M77" t="str">
        <f t="shared" si="19"/>
        <v>H</v>
      </c>
      <c r="N77" t="str">
        <f t="shared" si="19"/>
        <v>L</v>
      </c>
      <c r="O77" t="str">
        <f t="shared" si="19"/>
        <v>L</v>
      </c>
      <c r="P77" t="str">
        <f t="shared" si="19"/>
        <v>L</v>
      </c>
      <c r="Q77" s="19" t="str">
        <f t="shared" si="19"/>
        <v>M</v>
      </c>
      <c r="R77" s="23" t="str">
        <f t="shared" si="19"/>
        <v>M</v>
      </c>
      <c r="S77" t="str">
        <f t="shared" si="19"/>
        <v>H</v>
      </c>
      <c r="T77" t="str">
        <f t="shared" si="19"/>
        <v>E</v>
      </c>
      <c r="U77" t="str">
        <f t="shared" si="19"/>
        <v>L</v>
      </c>
      <c r="V77" t="str">
        <f t="shared" si="19"/>
        <v>M</v>
      </c>
      <c r="W77" t="str">
        <f t="shared" si="19"/>
        <v>L</v>
      </c>
      <c r="X77" s="19" t="str">
        <f t="shared" si="19"/>
        <v>M</v>
      </c>
      <c r="Y77" s="23" t="str">
        <f t="shared" si="19"/>
        <v>M</v>
      </c>
      <c r="Z77" t="str">
        <f t="shared" si="19"/>
        <v>H</v>
      </c>
      <c r="AA77" t="str">
        <f t="shared" si="19"/>
        <v>E</v>
      </c>
      <c r="AB77" t="str">
        <f t="shared" si="19"/>
        <v>L</v>
      </c>
      <c r="AC77" t="str">
        <f t="shared" si="19"/>
        <v>M</v>
      </c>
      <c r="AD77" t="str">
        <f t="shared" si="19"/>
        <v>M</v>
      </c>
      <c r="AE77" s="27" t="str">
        <f t="shared" si="19"/>
        <v>M</v>
      </c>
    </row>
    <row r="78" spans="8:31" ht="18" x14ac:dyDescent="0.35">
      <c r="H78" s="26">
        <v>21</v>
      </c>
      <c r="I78" s="332" t="s">
        <v>46</v>
      </c>
      <c r="J78" s="328" t="s">
        <v>221</v>
      </c>
      <c r="K78" s="23" t="str">
        <f t="shared" ref="K78:AE78" si="20">K51</f>
        <v>M</v>
      </c>
      <c r="L78" t="str">
        <f t="shared" si="20"/>
        <v>L</v>
      </c>
      <c r="M78" t="str">
        <f t="shared" si="20"/>
        <v>M</v>
      </c>
      <c r="N78" t="str">
        <f t="shared" si="20"/>
        <v>M</v>
      </c>
      <c r="O78" t="str">
        <f t="shared" si="20"/>
        <v>N/A</v>
      </c>
      <c r="P78" t="str">
        <f t="shared" si="20"/>
        <v>N/A</v>
      </c>
      <c r="Q78" s="19" t="str">
        <f t="shared" si="20"/>
        <v>M</v>
      </c>
      <c r="R78" s="23" t="str">
        <f t="shared" si="20"/>
        <v>H</v>
      </c>
      <c r="S78" t="str">
        <f t="shared" si="20"/>
        <v>M</v>
      </c>
      <c r="T78" t="str">
        <f t="shared" si="20"/>
        <v>H</v>
      </c>
      <c r="U78" t="str">
        <f t="shared" si="20"/>
        <v>H</v>
      </c>
      <c r="V78" t="str">
        <f t="shared" si="20"/>
        <v>N/A</v>
      </c>
      <c r="W78" t="str">
        <f t="shared" si="20"/>
        <v>N/A</v>
      </c>
      <c r="X78" s="19" t="str">
        <f t="shared" si="20"/>
        <v>H</v>
      </c>
      <c r="Y78" s="23" t="str">
        <f t="shared" si="20"/>
        <v>H</v>
      </c>
      <c r="Z78" t="str">
        <f t="shared" si="20"/>
        <v>H</v>
      </c>
      <c r="AA78" t="str">
        <f t="shared" si="20"/>
        <v>E</v>
      </c>
      <c r="AB78" t="str">
        <f t="shared" si="20"/>
        <v>E</v>
      </c>
      <c r="AC78" t="str">
        <f t="shared" si="20"/>
        <v>N/A</v>
      </c>
      <c r="AD78" t="str">
        <f t="shared" si="20"/>
        <v>N/A</v>
      </c>
      <c r="AE78" s="27" t="str">
        <f t="shared" si="20"/>
        <v>E</v>
      </c>
    </row>
    <row r="79" spans="8:31" ht="18" x14ac:dyDescent="0.35">
      <c r="H79" s="26">
        <v>22</v>
      </c>
      <c r="I79" s="332" t="s">
        <v>46</v>
      </c>
      <c r="J79" s="328" t="s">
        <v>219</v>
      </c>
      <c r="K79" s="23" t="str">
        <f t="shared" ref="K79:AE79" si="21">K52</f>
        <v>M</v>
      </c>
      <c r="L79" t="str">
        <f t="shared" si="21"/>
        <v>L</v>
      </c>
      <c r="M79" t="str">
        <f t="shared" si="21"/>
        <v>M</v>
      </c>
      <c r="N79" t="str">
        <f t="shared" si="21"/>
        <v>L</v>
      </c>
      <c r="O79" t="str">
        <f t="shared" si="21"/>
        <v>M</v>
      </c>
      <c r="P79" t="str">
        <f t="shared" si="21"/>
        <v>L</v>
      </c>
      <c r="Q79" s="19" t="str">
        <f t="shared" si="21"/>
        <v>M</v>
      </c>
      <c r="R79" s="23" t="str">
        <f t="shared" si="21"/>
        <v>H</v>
      </c>
      <c r="S79" t="str">
        <f t="shared" si="21"/>
        <v>M</v>
      </c>
      <c r="T79" t="str">
        <f t="shared" si="21"/>
        <v>H</v>
      </c>
      <c r="U79" t="str">
        <f t="shared" si="21"/>
        <v>L</v>
      </c>
      <c r="V79" t="str">
        <f t="shared" si="21"/>
        <v>H</v>
      </c>
      <c r="W79" t="str">
        <f t="shared" si="21"/>
        <v>M</v>
      </c>
      <c r="X79" s="19" t="str">
        <f t="shared" si="21"/>
        <v>H</v>
      </c>
      <c r="Y79" s="23" t="str">
        <f t="shared" si="21"/>
        <v>H</v>
      </c>
      <c r="Z79" t="str">
        <f t="shared" si="21"/>
        <v>H</v>
      </c>
      <c r="AA79" t="str">
        <f t="shared" si="21"/>
        <v>E</v>
      </c>
      <c r="AB79" t="str">
        <f t="shared" si="21"/>
        <v>H</v>
      </c>
      <c r="AC79" t="str">
        <f t="shared" si="21"/>
        <v>E</v>
      </c>
      <c r="AD79" t="str">
        <f t="shared" si="21"/>
        <v>H</v>
      </c>
      <c r="AE79" s="27" t="str">
        <f t="shared" si="21"/>
        <v>E</v>
      </c>
    </row>
    <row r="80" spans="8:31" ht="18.5" thickBot="1" x14ac:dyDescent="0.4">
      <c r="H80" s="26">
        <v>23</v>
      </c>
      <c r="I80" s="343" t="s">
        <v>46</v>
      </c>
      <c r="J80" s="344" t="s">
        <v>217</v>
      </c>
      <c r="K80" s="227" t="str">
        <f t="shared" ref="K80:AE80" si="22">K53</f>
        <v>L</v>
      </c>
      <c r="L80" s="10" t="str">
        <f t="shared" si="22"/>
        <v>H</v>
      </c>
      <c r="M80" s="10" t="str">
        <f t="shared" si="22"/>
        <v>M</v>
      </c>
      <c r="N80" s="10" t="str">
        <f t="shared" si="22"/>
        <v>M</v>
      </c>
      <c r="O80" s="10" t="str">
        <f t="shared" si="22"/>
        <v>N/A</v>
      </c>
      <c r="P80" s="10" t="str">
        <f t="shared" si="22"/>
        <v>L</v>
      </c>
      <c r="Q80" s="345" t="str">
        <f t="shared" si="22"/>
        <v>M</v>
      </c>
      <c r="R80" s="227" t="str">
        <f t="shared" si="22"/>
        <v>H</v>
      </c>
      <c r="S80" s="10" t="str">
        <f t="shared" si="22"/>
        <v>H</v>
      </c>
      <c r="T80" s="10" t="str">
        <f t="shared" si="22"/>
        <v>H</v>
      </c>
      <c r="U80" s="10" t="str">
        <f t="shared" si="22"/>
        <v>H</v>
      </c>
      <c r="V80" s="10" t="str">
        <f t="shared" si="22"/>
        <v>N/A</v>
      </c>
      <c r="W80" s="10" t="str">
        <f t="shared" si="22"/>
        <v>H</v>
      </c>
      <c r="X80" s="345" t="str">
        <f t="shared" si="22"/>
        <v>H</v>
      </c>
      <c r="Y80" s="227" t="str">
        <f t="shared" si="22"/>
        <v>H</v>
      </c>
      <c r="Z80" s="10" t="str">
        <f t="shared" si="22"/>
        <v>H</v>
      </c>
      <c r="AA80" s="10" t="str">
        <f t="shared" si="22"/>
        <v>E</v>
      </c>
      <c r="AB80" s="10" t="str">
        <f t="shared" si="22"/>
        <v>H</v>
      </c>
      <c r="AC80" s="10" t="str">
        <f t="shared" si="22"/>
        <v>N/A</v>
      </c>
      <c r="AD80" s="10" t="str">
        <f t="shared" si="22"/>
        <v>H</v>
      </c>
      <c r="AE80" s="12" t="str">
        <f t="shared" si="22"/>
        <v>E</v>
      </c>
    </row>
    <row r="81" spans="8:31" ht="18" x14ac:dyDescent="0.35">
      <c r="H81" s="99">
        <v>24</v>
      </c>
      <c r="I81" s="336" t="s">
        <v>111</v>
      </c>
      <c r="J81" s="337" t="s">
        <v>112</v>
      </c>
      <c r="K81" s="338" t="str" cm="1">
        <f t="array" ref="K81">_xlfn.SWITCH(K58,"N/A","L","L","M","M","H","H","E","E","N/A")</f>
        <v>H</v>
      </c>
      <c r="L81" s="100" t="str" cm="1">
        <f t="array" ref="L81">_xlfn.SWITCH(L58,"N/A","L","L","M","M","H","H","E","E","N/A")</f>
        <v>M</v>
      </c>
      <c r="M81" s="100" t="str" cm="1">
        <f t="array" ref="M81">_xlfn.SWITCH(M58,"N/A","L","L","M","M","H","H","E","E","N/A")</f>
        <v>E</v>
      </c>
      <c r="N81" s="100" t="str" cm="1">
        <f t="array" ref="N81">_xlfn.SWITCH(N58,"N/A","L","L","M","M","H","H","E","E","N/A")</f>
        <v>M</v>
      </c>
      <c r="O81" s="100" t="str" cm="1">
        <f t="array" ref="O81">_xlfn.SWITCH(O58,"N/A","L","L","M","M","H","H","E","E","N/A")</f>
        <v>E</v>
      </c>
      <c r="P81" s="100" t="str" cm="1">
        <f t="array" ref="P81">_xlfn.SWITCH(P58,"N/A","L","L","M","M","H","H","E","E","N/A")</f>
        <v>E</v>
      </c>
      <c r="Q81" s="339" t="str" cm="1">
        <f t="array" ref="Q81">_xlfn.SWITCH(Q58,"N/A","L","L","M","M","H","H","E","E","N/A")</f>
        <v>E</v>
      </c>
      <c r="R81" s="338" t="str" cm="1">
        <f t="array" ref="R81">_xlfn.LET(_xlpm.Fin,_xlfn.XLOOKUP(K81,Exp_Shift[Rating],Exp_Shift[Number],0,0),_xlpm.Init,_xlfn.XLOOKUP(K58,Exp_Shift[Rating],Exp_Shift[Number],0,0),_xlpm.X,_xlfn.XLOOKUP(R58,Exp_Shift[Rating],Exp_Shift[Number],0,0), IF(_xlpm.Fin-_xlpm.Init&gt;0, _xlfn.XLOOKUP(MIN(4,_xlpm.X+_xlpm.Fin-_xlpm.Init),Exp_Shift[Number],Exp_Shift[Rating],0,0),IF(_xlpm.Fin-_xlpm.Init&lt;0,_xlfn.XLOOKUP(MAX(0,_xlpm.X-1),Exp_Shift[Number],Exp_Shift[Rating],0,0),R58)))</f>
        <v>E</v>
      </c>
      <c r="S81" s="100" t="str" cm="1">
        <f t="array" ref="S81">_xlfn.LET(_xlpm.Fin,_xlfn.XLOOKUP(L81,Exp_Shift[Rating],Exp_Shift[Number],0,0),_xlpm.Init,_xlfn.XLOOKUP(L58,Exp_Shift[Rating],Exp_Shift[Number],0,0),_xlpm.X,_xlfn.XLOOKUP(S58,Exp_Shift[Rating],Exp_Shift[Number],0,0), IF(_xlpm.Fin-_xlpm.Init&gt;0, _xlfn.XLOOKUP(MIN(4,_xlpm.X+_xlpm.Fin-_xlpm.Init),Exp_Shift[Number],Exp_Shift[Rating],0,0),IF(_xlpm.Fin-_xlpm.Init&lt;0,_xlfn.XLOOKUP(MAX(0,_xlpm.X-1),Exp_Shift[Number],Exp_Shift[Rating],0,0),S58)))</f>
        <v>M</v>
      </c>
      <c r="T81" s="100" t="str" cm="1">
        <f t="array" ref="T81">_xlfn.LET(_xlpm.Fin,_xlfn.XLOOKUP(M81,Exp_Shift[Rating],Exp_Shift[Number],0,0),_xlpm.Init,_xlfn.XLOOKUP(M58,Exp_Shift[Rating],Exp_Shift[Number],0,0),_xlpm.X,_xlfn.XLOOKUP(T58,Exp_Shift[Rating],Exp_Shift[Number],0,0), IF(_xlpm.Fin-_xlpm.Init&gt;0, _xlfn.XLOOKUP(MIN(4,_xlpm.X+_xlpm.Fin-_xlpm.Init),Exp_Shift[Number],Exp_Shift[Rating],0,0),IF(_xlpm.Fin-_xlpm.Init&lt;0,_xlfn.XLOOKUP(MAX(0,_xlpm.X-1),Exp_Shift[Number],Exp_Shift[Rating],0,0),T58)))</f>
        <v>E</v>
      </c>
      <c r="U81" s="100" t="str" cm="1">
        <f t="array" ref="U81">_xlfn.LET(_xlpm.Fin,_xlfn.XLOOKUP(N81,Exp_Shift[Rating],Exp_Shift[Number],0,0),_xlpm.Init,_xlfn.XLOOKUP(N58,Exp_Shift[Rating],Exp_Shift[Number],0,0),_xlpm.X,_xlfn.XLOOKUP(U58,Exp_Shift[Rating],Exp_Shift[Number],0,0), IF(_xlpm.Fin-_xlpm.Init&gt;0, _xlfn.XLOOKUP(MIN(4,_xlpm.X+_xlpm.Fin-_xlpm.Init),Exp_Shift[Number],Exp_Shift[Rating],0,0),IF(_xlpm.Fin-_xlpm.Init&lt;0,_xlfn.XLOOKUP(MAX(0,_xlpm.X-1),Exp_Shift[Number],Exp_Shift[Rating],0,0),U58)))</f>
        <v>M</v>
      </c>
      <c r="V81" s="100" t="str" cm="1">
        <f t="array" ref="V81">_xlfn.LET(_xlpm.Fin,_xlfn.XLOOKUP(O81,Exp_Shift[Rating],Exp_Shift[Number],0,0),_xlpm.Init,_xlfn.XLOOKUP(O58,Exp_Shift[Rating],Exp_Shift[Number],0,0),_xlpm.X,_xlfn.XLOOKUP(V58,Exp_Shift[Rating],Exp_Shift[Number],0,0), IF(_xlpm.Fin-_xlpm.Init&gt;0, _xlfn.XLOOKUP(MIN(4,_xlpm.X+_xlpm.Fin-_xlpm.Init),Exp_Shift[Number],Exp_Shift[Rating],0,0),IF(_xlpm.Fin-_xlpm.Init&lt;0,_xlfn.XLOOKUP(MAX(0,_xlpm.X-1),Exp_Shift[Number],Exp_Shift[Rating],0,0),V58)))</f>
        <v>E</v>
      </c>
      <c r="W81" s="100" t="str" cm="1">
        <f t="array" ref="W81">_xlfn.LET(_xlpm.Fin,_xlfn.XLOOKUP(P81,Exp_Shift[Rating],Exp_Shift[Number],0,0),_xlpm.Init,_xlfn.XLOOKUP(P58,Exp_Shift[Rating],Exp_Shift[Number],0,0),_xlpm.X,_xlfn.XLOOKUP(W58,Exp_Shift[Rating],Exp_Shift[Number],0,0), IF(_xlpm.Fin-_xlpm.Init&gt;0, _xlfn.XLOOKUP(MIN(4,_xlpm.X+_xlpm.Fin-_xlpm.Init),Exp_Shift[Number],Exp_Shift[Rating],0,0),IF(_xlpm.Fin-_xlpm.Init&lt;0,_xlfn.XLOOKUP(MAX(0,_xlpm.X-1),Exp_Shift[Number],Exp_Shift[Rating],0,0),W58)))</f>
        <v>E</v>
      </c>
      <c r="X81" s="339" t="str" cm="1">
        <f t="array" ref="X81">_xlfn.LET(_xlpm.Fin,_xlfn.XLOOKUP(Q81,Exp_Shift[Rating],Exp_Shift[Number],0,0),_xlpm.Init,_xlfn.XLOOKUP(Q58,Exp_Shift[Rating],Exp_Shift[Number],0,0),_xlpm.X,_xlfn.XLOOKUP(X58,Exp_Shift[Rating],Exp_Shift[Number],0,0), IF(_xlpm.Fin-_xlpm.Init&gt;0, _xlfn.XLOOKUP(MIN(4,_xlpm.X+_xlpm.Fin-_xlpm.Init),Exp_Shift[Number],Exp_Shift[Rating],0,0),IF(_xlpm.Fin-_xlpm.Init&lt;0,_xlfn.XLOOKUP(MAX(0,_xlpm.X-1),Exp_Shift[Number],Exp_Shift[Rating],0,0),X58)))</f>
        <v>E</v>
      </c>
      <c r="Y81" s="338" t="str" cm="1">
        <f t="array" ref="Y81">_xlfn.LET(_xlpm.Fin,_xlfn.XLOOKUP(K81,Exp_Shift[Rating],Exp_Shift[Number],0,0),_xlpm.Init,_xlfn.XLOOKUP(K58,Exp_Shift[Rating],Exp_Shift[Number],0,0),_xlpm.X,_xlfn.XLOOKUP(Y58,Exp_Shift[Rating],Exp_Shift[Number],0,0), IF(_xlpm.Fin-_xlpm.Init&gt;0, _xlfn.XLOOKUP(MIN(4,_xlpm.X+1),Exp_Shift[Number],Exp_Shift[Rating],0,0),IF(_xlpm.Fin-_xlpm.Init&lt;0,_xlfn.XLOOKUP(MAX(0,_xlpm.X),Exp_Shift[Number],Exp_Shift[Rating],0,0),Y58)))</f>
        <v>E</v>
      </c>
      <c r="Z81" s="100" t="str" cm="1">
        <f t="array" ref="Z81">_xlfn.LET(_xlpm.Fin,_xlfn.XLOOKUP(L81,Exp_Shift[Rating],Exp_Shift[Number],0,0),_xlpm.Init,_xlfn.XLOOKUP(L58,Exp_Shift[Rating],Exp_Shift[Number],0,0),_xlpm.X,_xlfn.XLOOKUP(Z58,Exp_Shift[Rating],Exp_Shift[Number],0,0), IF(_xlpm.Fin-_xlpm.Init&gt;0, _xlfn.XLOOKUP(MIN(4,_xlpm.X+1),Exp_Shift[Number],Exp_Shift[Rating],0,0),IF(_xlpm.Fin-_xlpm.Init&lt;0,_xlfn.XLOOKUP(MAX(0,_xlpm.X),Exp_Shift[Number],Exp_Shift[Rating],0,0),Z58)))</f>
        <v>H</v>
      </c>
      <c r="AA81" s="100" t="str" cm="1">
        <f t="array" ref="AA81">_xlfn.LET(_xlpm.Fin,_xlfn.XLOOKUP(M81,Exp_Shift[Rating],Exp_Shift[Number],0,0),_xlpm.Init,_xlfn.XLOOKUP(M58,Exp_Shift[Rating],Exp_Shift[Number],0,0),_xlpm.X,_xlfn.XLOOKUP(AA58,Exp_Shift[Rating],Exp_Shift[Number],0,0), IF(_xlpm.Fin-_xlpm.Init&gt;0, _xlfn.XLOOKUP(MIN(4,_xlpm.X+1),Exp_Shift[Number],Exp_Shift[Rating],0,0),IF(_xlpm.Fin-_xlpm.Init&lt;0,_xlfn.XLOOKUP(MAX(0,_xlpm.X),Exp_Shift[Number],Exp_Shift[Rating],0,0),AA58)))</f>
        <v>E</v>
      </c>
      <c r="AB81" s="100" t="str" cm="1">
        <f t="array" ref="AB81">_xlfn.LET(_xlpm.Fin,_xlfn.XLOOKUP(N81,Exp_Shift[Rating],Exp_Shift[Number],0,0),_xlpm.Init,_xlfn.XLOOKUP(N58,Exp_Shift[Rating],Exp_Shift[Number],0,0),_xlpm.X,_xlfn.XLOOKUP(AB58,Exp_Shift[Rating],Exp_Shift[Number],0,0), IF(_xlpm.Fin-_xlpm.Init&gt;0, _xlfn.XLOOKUP(MIN(4,_xlpm.X+1),Exp_Shift[Number],Exp_Shift[Rating],0,0),IF(_xlpm.Fin-_xlpm.Init&lt;0,_xlfn.XLOOKUP(MAX(0,_xlpm.X),Exp_Shift[Number],Exp_Shift[Rating],0,0),AB58)))</f>
        <v>M</v>
      </c>
      <c r="AC81" s="100" t="str" cm="1">
        <f t="array" ref="AC81">_xlfn.LET(_xlpm.Fin,_xlfn.XLOOKUP(O81,Exp_Shift[Rating],Exp_Shift[Number],0,0),_xlpm.Init,_xlfn.XLOOKUP(O58,Exp_Shift[Rating],Exp_Shift[Number],0,0),_xlpm.X,_xlfn.XLOOKUP(AC58,Exp_Shift[Rating],Exp_Shift[Number],0,0), IF(_xlpm.Fin-_xlpm.Init&gt;0, _xlfn.XLOOKUP(MIN(4,_xlpm.X+1),Exp_Shift[Number],Exp_Shift[Rating],0,0),IF(_xlpm.Fin-_xlpm.Init&lt;0,_xlfn.XLOOKUP(MAX(0,_xlpm.X),Exp_Shift[Number],Exp_Shift[Rating],0,0),AC58)))</f>
        <v>E</v>
      </c>
      <c r="AD81" s="100" t="str" cm="1">
        <f t="array" ref="AD81">_xlfn.LET(_xlpm.Fin,_xlfn.XLOOKUP(P81,Exp_Shift[Rating],Exp_Shift[Number],0,0),_xlpm.Init,_xlfn.XLOOKUP(P58,Exp_Shift[Rating],Exp_Shift[Number],0,0),_xlpm.X,_xlfn.XLOOKUP(AD58,Exp_Shift[Rating],Exp_Shift[Number],0,0), IF(_xlpm.Fin-_xlpm.Init&gt;0, _xlfn.XLOOKUP(MIN(4,_xlpm.X+1),Exp_Shift[Number],Exp_Shift[Rating],0,0),IF(_xlpm.Fin-_xlpm.Init&lt;0,_xlfn.XLOOKUP(MAX(0,_xlpm.X),Exp_Shift[Number],Exp_Shift[Rating],0,0),AD58)))</f>
        <v>E</v>
      </c>
      <c r="AE81" s="340" t="str" cm="1">
        <f t="array" ref="AE81">_xlfn.LET(_xlpm.Fin,_xlfn.XLOOKUP(Q81,Exp_Shift[Rating],Exp_Shift[Number],0,0),_xlpm.Init,_xlfn.XLOOKUP(Q58,Exp_Shift[Rating],Exp_Shift[Number],0,0),_xlpm.X,_xlfn.XLOOKUP(AE58,Exp_Shift[Rating],Exp_Shift[Number],0,0), IF(_xlpm.Fin-_xlpm.Init&gt;0, _xlfn.XLOOKUP(MIN(4,_xlpm.X+1),Exp_Shift[Number],Exp_Shift[Rating],0,0),IF(_xlpm.Fin-_xlpm.Init&lt;0,_xlfn.XLOOKUP(MAX(0,_xlpm.X),Exp_Shift[Number],Exp_Shift[Rating],0,0),AE58)))</f>
        <v>E</v>
      </c>
    </row>
    <row r="82" spans="8:31" ht="18" x14ac:dyDescent="0.35">
      <c r="H82" s="26">
        <v>25</v>
      </c>
      <c r="I82" s="327" t="s">
        <v>111</v>
      </c>
      <c r="J82" s="328" t="s">
        <v>117</v>
      </c>
      <c r="K82" s="23" t="str" cm="1">
        <f t="array" ref="K82">_xlfn.SWITCH(K59,"N/A","L","L","M","M","H","H","E","E","N/A")</f>
        <v>M</v>
      </c>
      <c r="L82" t="str" cm="1">
        <f t="array" ref="L82">_xlfn.SWITCH(L59,"N/A","L","L","M","M","H","H","E","E","N/A")</f>
        <v>H</v>
      </c>
      <c r="M82" t="str" cm="1">
        <f t="array" ref="M82">_xlfn.SWITCH(M59,"N/A","L","L","M","M","H","H","E","E","N/A")</f>
        <v>E</v>
      </c>
      <c r="N82" t="str" cm="1">
        <f t="array" ref="N82">_xlfn.SWITCH(N59,"N/A","L","L","M","M","H","H","E","E","N/A")</f>
        <v>M</v>
      </c>
      <c r="O82" t="str" cm="1">
        <f t="array" ref="O82">_xlfn.SWITCH(O59,"N/A","L","L","M","M","H","H","E","E","N/A")</f>
        <v>L</v>
      </c>
      <c r="P82" t="str" cm="1">
        <f t="array" ref="P82">_xlfn.SWITCH(P59,"N/A","L","L","M","M","H","H","E","E","N/A")</f>
        <v>L</v>
      </c>
      <c r="Q82" s="19" t="str" cm="1">
        <f t="array" ref="Q82">_xlfn.SWITCH(Q59,"N/A","L","L","M","M","H","H","E","E","N/A")</f>
        <v>E</v>
      </c>
      <c r="R82" s="23" t="str" cm="1">
        <f t="array" ref="R82">_xlfn.LET(_xlpm.Fin,_xlfn.XLOOKUP(K82,Exp_Shift[Rating],Exp_Shift[Number],0,0),_xlpm.Init,_xlfn.XLOOKUP(K59,Exp_Shift[Rating],Exp_Shift[Number],0,0),_xlpm.X,_xlfn.XLOOKUP(R59,Exp_Shift[Rating],Exp_Shift[Number],0,0), IF(_xlpm.Fin-_xlpm.Init&gt;0, _xlfn.XLOOKUP(MIN(4,_xlpm.X+_xlpm.Fin-_xlpm.Init),Exp_Shift[Number],Exp_Shift[Rating],0,0),IF(_xlpm.Fin-_xlpm.Init&lt;0,_xlfn.XLOOKUP(MAX(0,_xlpm.X-1),Exp_Shift[Number],Exp_Shift[Rating],0,0),R59)))</f>
        <v>H</v>
      </c>
      <c r="S82" t="str" cm="1">
        <f t="array" ref="S82">_xlfn.LET(_xlpm.Fin,_xlfn.XLOOKUP(L82,Exp_Shift[Rating],Exp_Shift[Number],0,0),_xlpm.Init,_xlfn.XLOOKUP(L59,Exp_Shift[Rating],Exp_Shift[Number],0,0),_xlpm.X,_xlfn.XLOOKUP(S59,Exp_Shift[Rating],Exp_Shift[Number],0,0), IF(_xlpm.Fin-_xlpm.Init&gt;0, _xlfn.XLOOKUP(MIN(4,_xlpm.X+_xlpm.Fin-_xlpm.Init),Exp_Shift[Number],Exp_Shift[Rating],0,0),IF(_xlpm.Fin-_xlpm.Init&lt;0,_xlfn.XLOOKUP(MAX(0,_xlpm.X-1),Exp_Shift[Number],Exp_Shift[Rating],0,0),S59)))</f>
        <v>E</v>
      </c>
      <c r="T82" t="str" cm="1">
        <f t="array" ref="T82">_xlfn.LET(_xlpm.Fin,_xlfn.XLOOKUP(M82,Exp_Shift[Rating],Exp_Shift[Number],0,0),_xlpm.Init,_xlfn.XLOOKUP(M59,Exp_Shift[Rating],Exp_Shift[Number],0,0),_xlpm.X,_xlfn.XLOOKUP(T59,Exp_Shift[Rating],Exp_Shift[Number],0,0), IF(_xlpm.Fin-_xlpm.Init&gt;0, _xlfn.XLOOKUP(MIN(4,_xlpm.X+_xlpm.Fin-_xlpm.Init),Exp_Shift[Number],Exp_Shift[Rating],0,0),IF(_xlpm.Fin-_xlpm.Init&lt;0,_xlfn.XLOOKUP(MAX(0,_xlpm.X-1),Exp_Shift[Number],Exp_Shift[Rating],0,0),T59)))</f>
        <v>E</v>
      </c>
      <c r="U82" t="str" cm="1">
        <f t="array" ref="U82">_xlfn.LET(_xlpm.Fin,_xlfn.XLOOKUP(N82,Exp_Shift[Rating],Exp_Shift[Number],0,0),_xlpm.Init,_xlfn.XLOOKUP(N59,Exp_Shift[Rating],Exp_Shift[Number],0,0),_xlpm.X,_xlfn.XLOOKUP(U59,Exp_Shift[Rating],Exp_Shift[Number],0,0), IF(_xlpm.Fin-_xlpm.Init&gt;0, _xlfn.XLOOKUP(MIN(4,_xlpm.X+_xlpm.Fin-_xlpm.Init),Exp_Shift[Number],Exp_Shift[Rating],0,0),IF(_xlpm.Fin-_xlpm.Init&lt;0,_xlfn.XLOOKUP(MAX(0,_xlpm.X-1),Exp_Shift[Number],Exp_Shift[Rating],0,0),U59)))</f>
        <v>H</v>
      </c>
      <c r="V82" t="str" cm="1">
        <f t="array" ref="V82">_xlfn.LET(_xlpm.Fin,_xlfn.XLOOKUP(O82,Exp_Shift[Rating],Exp_Shift[Number],0,0),_xlpm.Init,_xlfn.XLOOKUP(O59,Exp_Shift[Rating],Exp_Shift[Number],0,0),_xlpm.X,_xlfn.XLOOKUP(V59,Exp_Shift[Rating],Exp_Shift[Number],0,0), IF(_xlpm.Fin-_xlpm.Init&gt;0, _xlfn.XLOOKUP(MIN(4,_xlpm.X+_xlpm.Fin-_xlpm.Init),Exp_Shift[Number],Exp_Shift[Rating],0,0),IF(_xlpm.Fin-_xlpm.Init&lt;0,_xlfn.XLOOKUP(MAX(0,_xlpm.X-1),Exp_Shift[Number],Exp_Shift[Rating],0,0),V59)))</f>
        <v>L</v>
      </c>
      <c r="W82" t="str" cm="1">
        <f t="array" ref="W82">_xlfn.LET(_xlpm.Fin,_xlfn.XLOOKUP(P82,Exp_Shift[Rating],Exp_Shift[Number],0,0),_xlpm.Init,_xlfn.XLOOKUP(P59,Exp_Shift[Rating],Exp_Shift[Number],0,0),_xlpm.X,_xlfn.XLOOKUP(W59,Exp_Shift[Rating],Exp_Shift[Number],0,0), IF(_xlpm.Fin-_xlpm.Init&gt;0, _xlfn.XLOOKUP(MIN(4,_xlpm.X+_xlpm.Fin-_xlpm.Init),Exp_Shift[Number],Exp_Shift[Rating],0,0),IF(_xlpm.Fin-_xlpm.Init&lt;0,_xlfn.XLOOKUP(MAX(0,_xlpm.X-1),Exp_Shift[Number],Exp_Shift[Rating],0,0),W59)))</f>
        <v>L</v>
      </c>
      <c r="X82" s="19" t="str" cm="1">
        <f t="array" ref="X82">_xlfn.LET(_xlpm.Fin,_xlfn.XLOOKUP(Q82,Exp_Shift[Rating],Exp_Shift[Number],0,0),_xlpm.Init,_xlfn.XLOOKUP(Q59,Exp_Shift[Rating],Exp_Shift[Number],0,0),_xlpm.X,_xlfn.XLOOKUP(X59,Exp_Shift[Rating],Exp_Shift[Number],0,0), IF(_xlpm.Fin-_xlpm.Init&gt;0, _xlfn.XLOOKUP(MIN(4,_xlpm.X+_xlpm.Fin-_xlpm.Init),Exp_Shift[Number],Exp_Shift[Rating],0,0),IF(_xlpm.Fin-_xlpm.Init&lt;0,_xlfn.XLOOKUP(MAX(0,_xlpm.X-1),Exp_Shift[Number],Exp_Shift[Rating],0,0),X59)))</f>
        <v>E</v>
      </c>
      <c r="Y82" s="23" t="str" cm="1">
        <f t="array" ref="Y82">_xlfn.LET(_xlpm.Fin,_xlfn.XLOOKUP(K82,Exp_Shift[Rating],Exp_Shift[Number],0,0),_xlpm.Init,_xlfn.XLOOKUP(K59,Exp_Shift[Rating],Exp_Shift[Number],0,0),_xlpm.X,_xlfn.XLOOKUP(Y59,Exp_Shift[Rating],Exp_Shift[Number],0,0), IF(_xlpm.Fin-_xlpm.Init&gt;0, _xlfn.XLOOKUP(MIN(4,_xlpm.X+1),Exp_Shift[Number],Exp_Shift[Rating],0,0),IF(_xlpm.Fin-_xlpm.Init&lt;0,_xlfn.XLOOKUP(MAX(0,_xlpm.X),Exp_Shift[Number],Exp_Shift[Rating],0,0),Y59)))</f>
        <v>E</v>
      </c>
      <c r="Z82" t="str" cm="1">
        <f t="array" ref="Z82">_xlfn.LET(_xlpm.Fin,_xlfn.XLOOKUP(L82,Exp_Shift[Rating],Exp_Shift[Number],0,0),_xlpm.Init,_xlfn.XLOOKUP(L59,Exp_Shift[Rating],Exp_Shift[Number],0,0),_xlpm.X,_xlfn.XLOOKUP(Z59,Exp_Shift[Rating],Exp_Shift[Number],0,0), IF(_xlpm.Fin-_xlpm.Init&gt;0, _xlfn.XLOOKUP(MIN(4,_xlpm.X+1),Exp_Shift[Number],Exp_Shift[Rating],0,0),IF(_xlpm.Fin-_xlpm.Init&lt;0,_xlfn.XLOOKUP(MAX(0,_xlpm.X),Exp_Shift[Number],Exp_Shift[Rating],0,0),Z59)))</f>
        <v>E</v>
      </c>
      <c r="AA82" t="str" cm="1">
        <f t="array" ref="AA82">_xlfn.LET(_xlpm.Fin,_xlfn.XLOOKUP(M82,Exp_Shift[Rating],Exp_Shift[Number],0,0),_xlpm.Init,_xlfn.XLOOKUP(M59,Exp_Shift[Rating],Exp_Shift[Number],0,0),_xlpm.X,_xlfn.XLOOKUP(AA59,Exp_Shift[Rating],Exp_Shift[Number],0,0), IF(_xlpm.Fin-_xlpm.Init&gt;0, _xlfn.XLOOKUP(MIN(4,_xlpm.X+1),Exp_Shift[Number],Exp_Shift[Rating],0,0),IF(_xlpm.Fin-_xlpm.Init&lt;0,_xlfn.XLOOKUP(MAX(0,_xlpm.X),Exp_Shift[Number],Exp_Shift[Rating],0,0),AA59)))</f>
        <v>E</v>
      </c>
      <c r="AB82" t="str" cm="1">
        <f t="array" ref="AB82">_xlfn.LET(_xlpm.Fin,_xlfn.XLOOKUP(N82,Exp_Shift[Rating],Exp_Shift[Number],0,0),_xlpm.Init,_xlfn.XLOOKUP(N59,Exp_Shift[Rating],Exp_Shift[Number],0,0),_xlpm.X,_xlfn.XLOOKUP(AB59,Exp_Shift[Rating],Exp_Shift[Number],0,0), IF(_xlpm.Fin-_xlpm.Init&gt;0, _xlfn.XLOOKUP(MIN(4,_xlpm.X+1),Exp_Shift[Number],Exp_Shift[Rating],0,0),IF(_xlpm.Fin-_xlpm.Init&lt;0,_xlfn.XLOOKUP(MAX(0,_xlpm.X),Exp_Shift[Number],Exp_Shift[Rating],0,0),AB59)))</f>
        <v>E</v>
      </c>
      <c r="AC82" t="str" cm="1">
        <f t="array" ref="AC82">_xlfn.LET(_xlpm.Fin,_xlfn.XLOOKUP(O82,Exp_Shift[Rating],Exp_Shift[Number],0,0),_xlpm.Init,_xlfn.XLOOKUP(O59,Exp_Shift[Rating],Exp_Shift[Number],0,0),_xlpm.X,_xlfn.XLOOKUP(AC59,Exp_Shift[Rating],Exp_Shift[Number],0,0), IF(_xlpm.Fin-_xlpm.Init&gt;0, _xlfn.XLOOKUP(MIN(4,_xlpm.X+1),Exp_Shift[Number],Exp_Shift[Rating],0,0),IF(_xlpm.Fin-_xlpm.Init&lt;0,_xlfn.XLOOKUP(MAX(0,_xlpm.X),Exp_Shift[Number],Exp_Shift[Rating],0,0),AC59)))</f>
        <v>L</v>
      </c>
      <c r="AD82" t="str" cm="1">
        <f t="array" ref="AD82">_xlfn.LET(_xlpm.Fin,_xlfn.XLOOKUP(P82,Exp_Shift[Rating],Exp_Shift[Number],0,0),_xlpm.Init,_xlfn.XLOOKUP(P59,Exp_Shift[Rating],Exp_Shift[Number],0,0),_xlpm.X,_xlfn.XLOOKUP(AD59,Exp_Shift[Rating],Exp_Shift[Number],0,0), IF(_xlpm.Fin-_xlpm.Init&gt;0, _xlfn.XLOOKUP(MIN(4,_xlpm.X+1),Exp_Shift[Number],Exp_Shift[Rating],0,0),IF(_xlpm.Fin-_xlpm.Init&lt;0,_xlfn.XLOOKUP(MAX(0,_xlpm.X),Exp_Shift[Number],Exp_Shift[Rating],0,0),AD59)))</f>
        <v>L</v>
      </c>
      <c r="AE82" s="27" t="str" cm="1">
        <f t="array" ref="AE82">_xlfn.LET(_xlpm.Fin,_xlfn.XLOOKUP(Q82,Exp_Shift[Rating],Exp_Shift[Number],0,0),_xlpm.Init,_xlfn.XLOOKUP(Q59,Exp_Shift[Rating],Exp_Shift[Number],0,0),_xlpm.X,_xlfn.XLOOKUP(AE59,Exp_Shift[Rating],Exp_Shift[Number],0,0), IF(_xlpm.Fin-_xlpm.Init&gt;0, _xlfn.XLOOKUP(MIN(4,_xlpm.X+1),Exp_Shift[Number],Exp_Shift[Rating],0,0),IF(_xlpm.Fin-_xlpm.Init&lt;0,_xlfn.XLOOKUP(MAX(0,_xlpm.X),Exp_Shift[Number],Exp_Shift[Rating],0,0),AE59)))</f>
        <v>E</v>
      </c>
    </row>
    <row r="83" spans="8:31" ht="18" x14ac:dyDescent="0.35">
      <c r="H83" s="26">
        <v>26</v>
      </c>
      <c r="I83" s="329" t="s">
        <v>111</v>
      </c>
      <c r="J83" s="330" t="s">
        <v>119</v>
      </c>
      <c r="K83" s="103" t="str" cm="1">
        <f t="array" ref="K83">_xlfn.SWITCH(K60,"N/A","L","L","M","M","H","H","E","E","N/A")</f>
        <v>M</v>
      </c>
      <c r="L83" s="17" t="str" cm="1">
        <f t="array" ref="L83">_xlfn.SWITCH(L60,"N/A","L","L","M","M","H","H","E","E","N/A")</f>
        <v>H</v>
      </c>
      <c r="M83" s="17" t="str" cm="1">
        <f t="array" ref="M83">_xlfn.SWITCH(M60,"N/A","L","L","M","M","H","H","E","E","N/A")</f>
        <v>E</v>
      </c>
      <c r="N83" s="17" t="str" cm="1">
        <f t="array" ref="N83">_xlfn.SWITCH(N60,"N/A","L","L","M","M","H","H","E","E","N/A")</f>
        <v>H</v>
      </c>
      <c r="O83" s="17" t="str" cm="1">
        <f t="array" ref="O83">_xlfn.SWITCH(O60,"N/A","L","L","M","M","H","H","E","E","N/A")</f>
        <v>L</v>
      </c>
      <c r="P83" s="17" t="str" cm="1">
        <f t="array" ref="P83">_xlfn.SWITCH(P60,"N/A","L","L","M","M","H","H","E","E","N/A")</f>
        <v>L</v>
      </c>
      <c r="Q83" s="97" t="str" cm="1">
        <f t="array" ref="Q83">_xlfn.SWITCH(Q60,"N/A","L","L","M","M","H","H","E","E","N/A")</f>
        <v>E</v>
      </c>
      <c r="R83" s="103" t="str" cm="1">
        <f t="array" ref="R83">_xlfn.LET(_xlpm.Fin,_xlfn.XLOOKUP(K83,Exp_Shift[Rating],Exp_Shift[Number],0,0),_xlpm.Init,_xlfn.XLOOKUP(K60,Exp_Shift[Rating],Exp_Shift[Number],0,0),_xlpm.X,_xlfn.XLOOKUP(R60,Exp_Shift[[Rating]:[Rating]],Exp_Shift[[Number]:[Number]],0,0), IF(_xlpm.Fin-_xlpm.Init&gt;0, _xlfn.XLOOKUP(MIN(4,_xlpm.X+_xlpm.Fin-_xlpm.Init),Exp_Shift[[Number]:[Number]],Exp_Shift[[Rating]:[Rating]],0,0),IF(_xlpm.Fin-_xlpm.Init&lt;0,_xlfn.XLOOKUP(MAX(0,_xlpm.X-1),Exp_Shift[[Number]:[Number]],Exp_Shift[[Rating]:[Rating]],0,0),R60)))</f>
        <v>E</v>
      </c>
      <c r="S83" s="17" t="str" cm="1">
        <f t="array" ref="S83">_xlfn.LET(_xlpm.Fin,_xlfn.XLOOKUP(L83,Exp_Shift[[Rating]:[Rating]],Exp_Shift[[Number]:[Number]],0,0),_xlpm.Init,_xlfn.XLOOKUP(L60,Exp_Shift[[Rating]:[Rating]],Exp_Shift[[Number]:[Number]],0,0),_xlpm.X,_xlfn.XLOOKUP(S60,Exp_Shift[[Rating]:[Rating]],Exp_Shift[[Number]:[Number]],0,0), IF(_xlpm.Fin-_xlpm.Init&gt;0, _xlfn.XLOOKUP(MIN(4,_xlpm.X+_xlpm.Fin-_xlpm.Init),Exp_Shift[[Number]:[Number]],Exp_Shift[[Rating]:[Rating]],0,0),IF(_xlpm.Fin-_xlpm.Init&lt;0,_xlfn.XLOOKUP(MAX(0,_xlpm.X-1),Exp_Shift[[Number]:[Number]],Exp_Shift[[Rating]:[Rating]],0,0),S60)))</f>
        <v>E</v>
      </c>
      <c r="T83" s="17" t="str" cm="1">
        <f t="array" ref="T83">_xlfn.LET(_xlpm.Fin,_xlfn.XLOOKUP(M83,Exp_Shift[[Rating]:[Rating]],Exp_Shift[[Number]:[Number]],0,0),_xlpm.Init,_xlfn.XLOOKUP(M60,Exp_Shift[[Rating]:[Rating]],Exp_Shift[[Number]:[Number]],0,0),_xlpm.X,_xlfn.XLOOKUP(T60,Exp_Shift[[Rating]:[Rating]],Exp_Shift[[Number]:[Number]],0,0), IF(_xlpm.Fin-_xlpm.Init&gt;0, _xlfn.XLOOKUP(MIN(4,_xlpm.X+_xlpm.Fin-_xlpm.Init),Exp_Shift[[Number]:[Number]],Exp_Shift[[Rating]:[Rating]],0,0),IF(_xlpm.Fin-_xlpm.Init&lt;0,_xlfn.XLOOKUP(MAX(0,_xlpm.X-1),Exp_Shift[[Number]:[Number]],Exp_Shift[[Rating]:[Rating]],0,0),T60)))</f>
        <v>E</v>
      </c>
      <c r="U83" s="17" t="str" cm="1">
        <f t="array" ref="U83">_xlfn.LET(_xlpm.Fin,_xlfn.XLOOKUP(N83,Exp_Shift[[Rating]:[Rating]],Exp_Shift[[Number]:[Number]],0,0),_xlpm.Init,_xlfn.XLOOKUP(N60,Exp_Shift[[Rating]:[Rating]],Exp_Shift[[Number]:[Number]],0,0),_xlpm.X,_xlfn.XLOOKUP(U60,Exp_Shift[[Rating]:[Rating]],Exp_Shift[[Number]:[Number]],0,0), IF(_xlpm.Fin-_xlpm.Init&gt;0, _xlfn.XLOOKUP(MIN(4,_xlpm.X+_xlpm.Fin-_xlpm.Init),Exp_Shift[[Number]:[Number]],Exp_Shift[[Rating]:[Rating]],0,0),IF(_xlpm.Fin-_xlpm.Init&lt;0,_xlfn.XLOOKUP(MAX(0,_xlpm.X-1),Exp_Shift[[Number]:[Number]],Exp_Shift[[Rating]:[Rating]],0,0),U60)))</f>
        <v>E</v>
      </c>
      <c r="V83" s="17" t="str" cm="1">
        <f t="array" ref="V83">_xlfn.LET(_xlpm.Fin,_xlfn.XLOOKUP(O83,Exp_Shift[[Rating]:[Rating]],Exp_Shift[[Number]:[Number]],0,0),_xlpm.Init,_xlfn.XLOOKUP(O60,Exp_Shift[[Rating]:[Rating]],Exp_Shift[[Number]:[Number]],0,0),_xlpm.X,_xlfn.XLOOKUP(V60,Exp_Shift[[Rating]:[Rating]],Exp_Shift[[Number]:[Number]],0,0), IF(_xlpm.Fin-_xlpm.Init&gt;0, _xlfn.XLOOKUP(MIN(4,_xlpm.X+_xlpm.Fin-_xlpm.Init),Exp_Shift[[Number]:[Number]],Exp_Shift[[Rating]:[Rating]],0,0),IF(_xlpm.Fin-_xlpm.Init&lt;0,_xlfn.XLOOKUP(MAX(0,_xlpm.X-1),Exp_Shift[[Number]:[Number]],Exp_Shift[[Rating]:[Rating]],0,0),V60)))</f>
        <v>L</v>
      </c>
      <c r="W83" s="17" t="str" cm="1">
        <f t="array" ref="W83">_xlfn.LET(_xlpm.Fin,_xlfn.XLOOKUP(P83,Exp_Shift[[Rating]:[Rating]],Exp_Shift[[Number]:[Number]],0,0),_xlpm.Init,_xlfn.XLOOKUP(P60,Exp_Shift[[Rating]:[Rating]],Exp_Shift[[Number]:[Number]],0,0),_xlpm.X,_xlfn.XLOOKUP(W60,Exp_Shift[[Rating]:[Rating]],Exp_Shift[[Number]:[Number]],0,0), IF(_xlpm.Fin-_xlpm.Init&gt;0, _xlfn.XLOOKUP(MIN(4,_xlpm.X+_xlpm.Fin-_xlpm.Init),Exp_Shift[[Number]:[Number]],Exp_Shift[[Rating]:[Rating]],0,0),IF(_xlpm.Fin-_xlpm.Init&lt;0,_xlfn.XLOOKUP(MAX(0,_xlpm.X-1),Exp_Shift[[Number]:[Number]],Exp_Shift[[Rating]:[Rating]],0,0),W60)))</f>
        <v>L</v>
      </c>
      <c r="X83" s="97" t="str" cm="1">
        <f t="array" ref="X83">_xlfn.LET(_xlpm.Fin,_xlfn.XLOOKUP(Q83,Exp_Shift[[Rating]:[Rating]],Exp_Shift[[Number]:[Number]],0,0),_xlpm.Init,_xlfn.XLOOKUP(Q60,Exp_Shift[[Rating]:[Rating]],Exp_Shift[[Number]:[Number]],0,0),_xlpm.X,_xlfn.XLOOKUP(X60,Exp_Shift[[Rating]:[Rating]],Exp_Shift[[Number]:[Number]],0,0), IF(_xlpm.Fin-_xlpm.Init&gt;0, _xlfn.XLOOKUP(MIN(4,_xlpm.X+_xlpm.Fin-_xlpm.Init),Exp_Shift[[Number]:[Number]],Exp_Shift[[Rating]:[Rating]],0,0),IF(_xlpm.Fin-_xlpm.Init&lt;0,_xlfn.XLOOKUP(MAX(0,_xlpm.X-1),Exp_Shift[[Number]:[Number]],Exp_Shift[[Rating]:[Rating]],0,0),X60)))</f>
        <v>E</v>
      </c>
      <c r="Y83" s="103" t="str" cm="1">
        <f t="array" ref="Y83">_xlfn.LET(_xlpm.Fin,_xlfn.XLOOKUP(K83,Exp_Shift[Rating],Exp_Shift[Number],0,0),_xlpm.Init,_xlfn.XLOOKUP(K60,Exp_Shift[Rating],Exp_Shift[Number],0,0),_xlpm.X,_xlfn.XLOOKUP(Y60,Exp_Shift[[Rating]:[Rating]],Exp_Shift[[Number]:[Number]],0,0), IF(_xlpm.Fin-_xlpm.Init&gt;0, _xlfn.XLOOKUP(MIN(4,_xlpm.X+1),Exp_Shift[[Number]:[Number]],Exp_Shift[[Rating]:[Rating]],0,0),IF(_xlpm.Fin-_xlpm.Init&lt;0,_xlfn.XLOOKUP(MAX(0,_xlpm.X),Exp_Shift[[Number]:[Number]],Exp_Shift[[Rating]:[Rating]],0,0),Y60)))</f>
        <v>E</v>
      </c>
      <c r="Z83" s="17" t="str" cm="1">
        <f t="array" ref="Z83">_xlfn.LET(_xlpm.Fin,_xlfn.XLOOKUP(L83,Exp_Shift[[Rating]:[Rating]],Exp_Shift[[Number]:[Number]],0,0),_xlpm.Init,_xlfn.XLOOKUP(L60,Exp_Shift[[Rating]:[Rating]],Exp_Shift[[Number]:[Number]],0,0),_xlpm.X,_xlfn.XLOOKUP(Z60,Exp_Shift[[Rating]:[Rating]],Exp_Shift[[Number]:[Number]],0,0), IF(_xlpm.Fin-_xlpm.Init&gt;0, _xlfn.XLOOKUP(MIN(4,_xlpm.X+1),Exp_Shift[[Number]:[Number]],Exp_Shift[[Rating]:[Rating]],0,0),IF(_xlpm.Fin-_xlpm.Init&lt;0,_xlfn.XLOOKUP(MAX(0,_xlpm.X),Exp_Shift[[Number]:[Number]],Exp_Shift[[Rating]:[Rating]],0,0),Z60)))</f>
        <v>E</v>
      </c>
      <c r="AA83" s="17" t="str" cm="1">
        <f t="array" ref="AA83">_xlfn.LET(_xlpm.Fin,_xlfn.XLOOKUP(M83,Exp_Shift[[Rating]:[Rating]],Exp_Shift[[Number]:[Number]],0,0),_xlpm.Init,_xlfn.XLOOKUP(M60,Exp_Shift[[Rating]:[Rating]],Exp_Shift[[Number]:[Number]],0,0),_xlpm.X,_xlfn.XLOOKUP(AA60,Exp_Shift[[Rating]:[Rating]],Exp_Shift[[Number]:[Number]],0,0), IF(_xlpm.Fin-_xlpm.Init&gt;0, _xlfn.XLOOKUP(MIN(4,_xlpm.X+1),Exp_Shift[[Number]:[Number]],Exp_Shift[[Rating]:[Rating]],0,0),IF(_xlpm.Fin-_xlpm.Init&lt;0,_xlfn.XLOOKUP(MAX(0,_xlpm.X),Exp_Shift[[Number]:[Number]],Exp_Shift[[Rating]:[Rating]],0,0),AA60)))</f>
        <v>E</v>
      </c>
      <c r="AB83" s="17" t="str" cm="1">
        <f t="array" ref="AB83">_xlfn.LET(_xlpm.Fin,_xlfn.XLOOKUP(N83,Exp_Shift[[Rating]:[Rating]],Exp_Shift[[Number]:[Number]],0,0),_xlpm.Init,_xlfn.XLOOKUP(N60,Exp_Shift[[Rating]:[Rating]],Exp_Shift[[Number]:[Number]],0,0),_xlpm.X,_xlfn.XLOOKUP(AB60,Exp_Shift[[Rating]:[Rating]],Exp_Shift[[Number]:[Number]],0,0), IF(_xlpm.Fin-_xlpm.Init&gt;0, _xlfn.XLOOKUP(MIN(4,_xlpm.X+1),Exp_Shift[[Number]:[Number]],Exp_Shift[[Rating]:[Rating]],0,0),IF(_xlpm.Fin-_xlpm.Init&lt;0,_xlfn.XLOOKUP(MAX(0,_xlpm.X),Exp_Shift[[Number]:[Number]],Exp_Shift[[Rating]:[Rating]],0,0),AB60)))</f>
        <v>E</v>
      </c>
      <c r="AC83" s="17" t="str" cm="1">
        <f t="array" ref="AC83">_xlfn.LET(_xlpm.Fin,_xlfn.XLOOKUP(O83,Exp_Shift[[Rating]:[Rating]],Exp_Shift[[Number]:[Number]],0,0),_xlpm.Init,_xlfn.XLOOKUP(O60,Exp_Shift[[Rating]:[Rating]],Exp_Shift[[Number]:[Number]],0,0),_xlpm.X,_xlfn.XLOOKUP(AC60,Exp_Shift[[Rating]:[Rating]],Exp_Shift[[Number]:[Number]],0,0), IF(_xlpm.Fin-_xlpm.Init&gt;0, _xlfn.XLOOKUP(MIN(4,_xlpm.X+1),Exp_Shift[[Number]:[Number]],Exp_Shift[[Rating]:[Rating]],0,0),IF(_xlpm.Fin-_xlpm.Init&lt;0,_xlfn.XLOOKUP(MAX(0,_xlpm.X),Exp_Shift[[Number]:[Number]],Exp_Shift[[Rating]:[Rating]],0,0),AC60)))</f>
        <v>L</v>
      </c>
      <c r="AD83" s="17" t="str" cm="1">
        <f t="array" ref="AD83">_xlfn.LET(_xlpm.Fin,_xlfn.XLOOKUP(P83,Exp_Shift[[Rating]:[Rating]],Exp_Shift[[Number]:[Number]],0,0),_xlpm.Init,_xlfn.XLOOKUP(P60,Exp_Shift[[Rating]:[Rating]],Exp_Shift[[Number]:[Number]],0,0),_xlpm.X,_xlfn.XLOOKUP(AD60,Exp_Shift[[Rating]:[Rating]],Exp_Shift[[Number]:[Number]],0,0), IF(_xlpm.Fin-_xlpm.Init&gt;0, _xlfn.XLOOKUP(MIN(4,_xlpm.X+1),Exp_Shift[[Number]:[Number]],Exp_Shift[[Rating]:[Rating]],0,0),IF(_xlpm.Fin-_xlpm.Init&lt;0,_xlfn.XLOOKUP(MAX(0,_xlpm.X),Exp_Shift[[Number]:[Number]],Exp_Shift[[Rating]:[Rating]],0,0),AD60)))</f>
        <v>L</v>
      </c>
      <c r="AE83" s="341" t="str" cm="1">
        <f t="array" ref="AE83">_xlfn.LET(_xlpm.Fin,_xlfn.XLOOKUP(Q83,Exp_Shift[[Rating]:[Rating]],Exp_Shift[[Number]:[Number]],0,0),_xlpm.Init,_xlfn.XLOOKUP(Q60,Exp_Shift[[Rating]:[Rating]],Exp_Shift[[Number]:[Number]],0,0),_xlpm.X,_xlfn.XLOOKUP(AE60,Exp_Shift[[Rating]:[Rating]],Exp_Shift[[Number]:[Number]],0,0), IF(_xlpm.Fin-_xlpm.Init&gt;0, _xlfn.XLOOKUP(MIN(4,_xlpm.X+1),Exp_Shift[[Number]:[Number]],Exp_Shift[[Rating]:[Rating]],0,0),IF(_xlpm.Fin-_xlpm.Init&lt;0,_xlfn.XLOOKUP(MAX(0,_xlpm.X),Exp_Shift[[Number]:[Number]],Exp_Shift[[Rating]:[Rating]],0,0),AE60)))</f>
        <v>E</v>
      </c>
    </row>
    <row r="84" spans="8:31" ht="18" x14ac:dyDescent="0.35">
      <c r="H84" s="26">
        <v>27</v>
      </c>
      <c r="I84" s="331" t="s">
        <v>120</v>
      </c>
      <c r="J84" s="326" t="s">
        <v>210</v>
      </c>
      <c r="K84" s="23" t="str" cm="1">
        <f t="array" ref="K84">_xlfn.SWITCH(K61,"N/A","L","L","M","M","H","H","E","E","N/A")</f>
        <v>H</v>
      </c>
      <c r="L84" t="str" cm="1">
        <f t="array" ref="L84">_xlfn.SWITCH(L61,"N/A","L","L","M","M","H","H","E","E","N/A")</f>
        <v>H</v>
      </c>
      <c r="M84" t="str" cm="1">
        <f t="array" ref="M84">_xlfn.SWITCH(M61,"N/A","L","L","M","M","H","H","E","E","N/A")</f>
        <v>E</v>
      </c>
      <c r="N84" t="str" cm="1">
        <f t="array" ref="N84">_xlfn.SWITCH(N61,"N/A","L","L","M","M","H","H","E","E","N/A")</f>
        <v>H</v>
      </c>
      <c r="O84" t="str" cm="1">
        <f t="array" ref="O84">_xlfn.SWITCH(O61,"N/A","L","L","M","M","H","H","E","E","N/A")</f>
        <v>L</v>
      </c>
      <c r="P84" t="str" cm="1">
        <f t="array" ref="P84">_xlfn.SWITCH(P61,"N/A","L","L","M","M","H","H","E","E","N/A")</f>
        <v>L</v>
      </c>
      <c r="Q84" s="19" t="str" cm="1">
        <f t="array" ref="Q84">_xlfn.SWITCH(Q61,"N/A","L","L","M","M","H","H","E","E","N/A")</f>
        <v>H</v>
      </c>
      <c r="R84" s="23" t="str" cm="1">
        <f t="array" ref="R84">_xlfn.LET(_xlpm.Fin,_xlfn.XLOOKUP(K84,Exp_Shift[[Rating]:[Rating]],Exp_Shift[[Number]:[Number]],0,0),_xlpm.Init,_xlfn.XLOOKUP(K61,Exp_Shift[[Rating]:[Rating]],Exp_Shift[[Number]:[Number]],0,0),_xlpm.X,_xlfn.XLOOKUP(R61,Exp_Shift[[Rating]:[Rating]],Exp_Shift[[Number]:[Number]],0,0), IF(_xlpm.Fin-_xlpm.Init&gt;0, _xlfn.XLOOKUP(MIN(4,_xlpm.X+_xlpm.Fin-_xlpm.Init),Exp_Shift[[Number]:[Number]],Exp_Shift[[Rating]:[Rating]],0,0),IF(_xlpm.Fin-_xlpm.Init&lt;0,_xlfn.XLOOKUP(MAX(0,_xlpm.X-1),Exp_Shift[[Number]:[Number]],Exp_Shift[[Rating]:[Rating]],0,0),R61)))</f>
        <v>E</v>
      </c>
      <c r="S84" t="str" cm="1">
        <f t="array" ref="S84">_xlfn.LET(_xlpm.Fin,_xlfn.XLOOKUP(L84,Exp_Shift[[Rating]:[Rating]],Exp_Shift[[Number]:[Number]],0,0),_xlpm.Init,_xlfn.XLOOKUP(L61,Exp_Shift[[Rating]:[Rating]],Exp_Shift[[Number]:[Number]],0,0),_xlpm.X,_xlfn.XLOOKUP(S61,Exp_Shift[[Rating]:[Rating]],Exp_Shift[[Number]:[Number]],0,0), IF(_xlpm.Fin-_xlpm.Init&gt;0, _xlfn.XLOOKUP(MIN(4,_xlpm.X+_xlpm.Fin-_xlpm.Init),Exp_Shift[[Number]:[Number]],Exp_Shift[[Rating]:[Rating]],0,0),IF(_xlpm.Fin-_xlpm.Init&lt;0,_xlfn.XLOOKUP(MAX(0,_xlpm.X-1),Exp_Shift[[Number]:[Number]],Exp_Shift[[Rating]:[Rating]],0,0),S61)))</f>
        <v>H</v>
      </c>
      <c r="T84" t="str" cm="1">
        <f t="array" ref="T84">_xlfn.LET(_xlpm.Fin,_xlfn.XLOOKUP(M84,Exp_Shift[[Rating]:[Rating]],Exp_Shift[[Number]:[Number]],0,0),_xlpm.Init,_xlfn.XLOOKUP(M61,Exp_Shift[[Rating]:[Rating]],Exp_Shift[[Number]:[Number]],0,0),_xlpm.X,_xlfn.XLOOKUP(T61,Exp_Shift[[Rating]:[Rating]],Exp_Shift[[Number]:[Number]],0,0), IF(_xlpm.Fin-_xlpm.Init&gt;0, _xlfn.XLOOKUP(MIN(4,_xlpm.X+_xlpm.Fin-_xlpm.Init),Exp_Shift[[Number]:[Number]],Exp_Shift[[Rating]:[Rating]],0,0),IF(_xlpm.Fin-_xlpm.Init&lt;0,_xlfn.XLOOKUP(MAX(0,_xlpm.X-1),Exp_Shift[[Number]:[Number]],Exp_Shift[[Rating]:[Rating]],0,0),T61)))</f>
        <v>E</v>
      </c>
      <c r="U84" t="str" cm="1">
        <f t="array" ref="U84">_xlfn.LET(_xlpm.Fin,_xlfn.XLOOKUP(N84,Exp_Shift[[Rating]:[Rating]],Exp_Shift[[Number]:[Number]],0,0),_xlpm.Init,_xlfn.XLOOKUP(N61,Exp_Shift[[Rating]:[Rating]],Exp_Shift[[Number]:[Number]],0,0),_xlpm.X,_xlfn.XLOOKUP(U61,Exp_Shift[[Rating]:[Rating]],Exp_Shift[[Number]:[Number]],0,0), IF(_xlpm.Fin-_xlpm.Init&gt;0, _xlfn.XLOOKUP(MIN(4,_xlpm.X+_xlpm.Fin-_xlpm.Init),Exp_Shift[[Number]:[Number]],Exp_Shift[[Rating]:[Rating]],0,0),IF(_xlpm.Fin-_xlpm.Init&lt;0,_xlfn.XLOOKUP(MAX(0,_xlpm.X-1),Exp_Shift[[Number]:[Number]],Exp_Shift[[Rating]:[Rating]],0,0),U61)))</f>
        <v>E</v>
      </c>
      <c r="V84" t="str" cm="1">
        <f t="array" ref="V84">_xlfn.LET(_xlpm.Fin,_xlfn.XLOOKUP(O84,Exp_Shift[[Rating]:[Rating]],Exp_Shift[[Number]:[Number]],0,0),_xlpm.Init,_xlfn.XLOOKUP(O61,Exp_Shift[[Rating]:[Rating]],Exp_Shift[[Number]:[Number]],0,0),_xlpm.X,_xlfn.XLOOKUP(V61,Exp_Shift[[Rating]:[Rating]],Exp_Shift[[Number]:[Number]],0,0), IF(_xlpm.Fin-_xlpm.Init&gt;0, _xlfn.XLOOKUP(MIN(4,_xlpm.X+_xlpm.Fin-_xlpm.Init),Exp_Shift[[Number]:[Number]],Exp_Shift[[Rating]:[Rating]],0,0),IF(_xlpm.Fin-_xlpm.Init&lt;0,_xlfn.XLOOKUP(MAX(0,_xlpm.X-1),Exp_Shift[[Number]:[Number]],Exp_Shift[[Rating]:[Rating]],0,0),V61)))</f>
        <v>L</v>
      </c>
      <c r="W84" t="str" cm="1">
        <f t="array" ref="W84">_xlfn.LET(_xlpm.Fin,_xlfn.XLOOKUP(P84,Exp_Shift[[Rating]:[Rating]],Exp_Shift[[Number]:[Number]],0,0),_xlpm.Init,_xlfn.XLOOKUP(P61,Exp_Shift[[Rating]:[Rating]],Exp_Shift[[Number]:[Number]],0,0),_xlpm.X,_xlfn.XLOOKUP(W61,Exp_Shift[[Rating]:[Rating]],Exp_Shift[[Number]:[Number]],0,0), IF(_xlpm.Fin-_xlpm.Init&gt;0, _xlfn.XLOOKUP(MIN(4,_xlpm.X+_xlpm.Fin-_xlpm.Init),Exp_Shift[[Number]:[Number]],Exp_Shift[[Rating]:[Rating]],0,0),IF(_xlpm.Fin-_xlpm.Init&lt;0,_xlfn.XLOOKUP(MAX(0,_xlpm.X-1),Exp_Shift[[Number]:[Number]],Exp_Shift[[Rating]:[Rating]],0,0),W61)))</f>
        <v>L</v>
      </c>
      <c r="X84" s="19" t="str" cm="1">
        <f t="array" ref="X84">_xlfn.LET(_xlpm.Fin,_xlfn.XLOOKUP(Q84,Exp_Shift[[Rating]:[Rating]],Exp_Shift[[Number]:[Number]],0,0),_xlpm.Init,_xlfn.XLOOKUP(Q61,Exp_Shift[[Rating]:[Rating]],Exp_Shift[[Number]:[Number]],0,0),_xlpm.X,_xlfn.XLOOKUP(X61,Exp_Shift[[Rating]:[Rating]],Exp_Shift[[Number]:[Number]],0,0), IF(_xlpm.Fin-_xlpm.Init&gt;0, _xlfn.XLOOKUP(MIN(4,_xlpm.X+_xlpm.Fin-_xlpm.Init),Exp_Shift[[Number]:[Number]],Exp_Shift[[Rating]:[Rating]],0,0),IF(_xlpm.Fin-_xlpm.Init&lt;0,_xlfn.XLOOKUP(MAX(0,_xlpm.X-1),Exp_Shift[[Number]:[Number]],Exp_Shift[[Rating]:[Rating]],0,0),X61)))</f>
        <v>E</v>
      </c>
      <c r="Y84" s="23" t="str" cm="1">
        <f t="array" ref="Y84">_xlfn.LET(_xlpm.Fin,_xlfn.XLOOKUP(K84,Exp_Shift[[Rating]:[Rating]],Exp_Shift[[Number]:[Number]],0,0),_xlpm.Init,_xlfn.XLOOKUP(K61,Exp_Shift[[Rating]:[Rating]],Exp_Shift[[Number]:[Number]],0,0),_xlpm.X,_xlfn.XLOOKUP(Y61,Exp_Shift[[Rating]:[Rating]],Exp_Shift[[Number]:[Number]],0,0), IF(_xlpm.Fin-_xlpm.Init&gt;0, _xlfn.XLOOKUP(MIN(4,_xlpm.X+1),Exp_Shift[[Number]:[Number]],Exp_Shift[[Rating]:[Rating]],0,0),IF(_xlpm.Fin-_xlpm.Init&lt;0,_xlfn.XLOOKUP(MAX(0,_xlpm.X),Exp_Shift[[Number]:[Number]],Exp_Shift[[Rating]:[Rating]],0,0),Y61)))</f>
        <v>E</v>
      </c>
      <c r="Z84" t="str" cm="1">
        <f t="array" ref="Z84">_xlfn.LET(_xlpm.Fin,_xlfn.XLOOKUP(L84,Exp_Shift[[Rating]:[Rating]],Exp_Shift[[Number]:[Number]],0,0),_xlpm.Init,_xlfn.XLOOKUP(L61,Exp_Shift[[Rating]:[Rating]],Exp_Shift[[Number]:[Number]],0,0),_xlpm.X,_xlfn.XLOOKUP(Z61,Exp_Shift[[Rating]:[Rating]],Exp_Shift[[Number]:[Number]],0,0), IF(_xlpm.Fin-_xlpm.Init&gt;0, _xlfn.XLOOKUP(MIN(4,_xlpm.X+1),Exp_Shift[[Number]:[Number]],Exp_Shift[[Rating]:[Rating]],0,0),IF(_xlpm.Fin-_xlpm.Init&lt;0,_xlfn.XLOOKUP(MAX(0,_xlpm.X),Exp_Shift[[Number]:[Number]],Exp_Shift[[Rating]:[Rating]],0,0),Z61)))</f>
        <v>E</v>
      </c>
      <c r="AA84" t="str" cm="1">
        <f t="array" ref="AA84">_xlfn.LET(_xlpm.Fin,_xlfn.XLOOKUP(M84,Exp_Shift[[Rating]:[Rating]],Exp_Shift[[Number]:[Number]],0,0),_xlpm.Init,_xlfn.XLOOKUP(M61,Exp_Shift[[Rating]:[Rating]],Exp_Shift[[Number]:[Number]],0,0),_xlpm.X,_xlfn.XLOOKUP(AA61,Exp_Shift[[Rating]:[Rating]],Exp_Shift[[Number]:[Number]],0,0), IF(_xlpm.Fin-_xlpm.Init&gt;0, _xlfn.XLOOKUP(MIN(4,_xlpm.X+1),Exp_Shift[[Number]:[Number]],Exp_Shift[[Rating]:[Rating]],0,0),IF(_xlpm.Fin-_xlpm.Init&lt;0,_xlfn.XLOOKUP(MAX(0,_xlpm.X),Exp_Shift[[Number]:[Number]],Exp_Shift[[Rating]:[Rating]],0,0),AA61)))</f>
        <v>E</v>
      </c>
      <c r="AB84" t="str" cm="1">
        <f t="array" ref="AB84">_xlfn.LET(_xlpm.Fin,_xlfn.XLOOKUP(N84,Exp_Shift[[Rating]:[Rating]],Exp_Shift[[Number]:[Number]],0,0),_xlpm.Init,_xlfn.XLOOKUP(N61,Exp_Shift[[Rating]:[Rating]],Exp_Shift[[Number]:[Number]],0,0),_xlpm.X,_xlfn.XLOOKUP(AB61,Exp_Shift[[Rating]:[Rating]],Exp_Shift[[Number]:[Number]],0,0), IF(_xlpm.Fin-_xlpm.Init&gt;0, _xlfn.XLOOKUP(MIN(4,_xlpm.X+1),Exp_Shift[[Number]:[Number]],Exp_Shift[[Rating]:[Rating]],0,0),IF(_xlpm.Fin-_xlpm.Init&lt;0,_xlfn.XLOOKUP(MAX(0,_xlpm.X),Exp_Shift[[Number]:[Number]],Exp_Shift[[Rating]:[Rating]],0,0),AB61)))</f>
        <v>E</v>
      </c>
      <c r="AC84" t="str" cm="1">
        <f t="array" ref="AC84">_xlfn.LET(_xlpm.Fin,_xlfn.XLOOKUP(O84,Exp_Shift[[Rating]:[Rating]],Exp_Shift[[Number]:[Number]],0,0),_xlpm.Init,_xlfn.XLOOKUP(O61,Exp_Shift[[Rating]:[Rating]],Exp_Shift[[Number]:[Number]],0,0),_xlpm.X,_xlfn.XLOOKUP(AC61,Exp_Shift[[Rating]:[Rating]],Exp_Shift[[Number]:[Number]],0,0), IF(_xlpm.Fin-_xlpm.Init&gt;0, _xlfn.XLOOKUP(MIN(4,_xlpm.X+1),Exp_Shift[[Number]:[Number]],Exp_Shift[[Rating]:[Rating]],0,0),IF(_xlpm.Fin-_xlpm.Init&lt;0,_xlfn.XLOOKUP(MAX(0,_xlpm.X),Exp_Shift[[Number]:[Number]],Exp_Shift[[Rating]:[Rating]],0,0),AC61)))</f>
        <v>L</v>
      </c>
      <c r="AD84" t="str" cm="1">
        <f t="array" ref="AD84">_xlfn.LET(_xlpm.Fin,_xlfn.XLOOKUP(P84,Exp_Shift[[Rating]:[Rating]],Exp_Shift[[Number]:[Number]],0,0),_xlpm.Init,_xlfn.XLOOKUP(P61,Exp_Shift[[Rating]:[Rating]],Exp_Shift[[Number]:[Number]],0,0),_xlpm.X,_xlfn.XLOOKUP(AD61,Exp_Shift[[Rating]:[Rating]],Exp_Shift[[Number]:[Number]],0,0), IF(_xlpm.Fin-_xlpm.Init&gt;0, _xlfn.XLOOKUP(MIN(4,_xlpm.X+1),Exp_Shift[[Number]:[Number]],Exp_Shift[[Rating]:[Rating]],0,0),IF(_xlpm.Fin-_xlpm.Init&lt;0,_xlfn.XLOOKUP(MAX(0,_xlpm.X),Exp_Shift[[Number]:[Number]],Exp_Shift[[Rating]:[Rating]],0,0),AD61)))</f>
        <v>L</v>
      </c>
      <c r="AE84" s="27" t="str" cm="1">
        <f t="array" ref="AE84">_xlfn.LET(_xlpm.Fin,_xlfn.XLOOKUP(Q84,Exp_Shift[[Rating]:[Rating]],Exp_Shift[[Number]:[Number]],0,0),_xlpm.Init,_xlfn.XLOOKUP(Q61,Exp_Shift[[Rating]:[Rating]],Exp_Shift[[Number]:[Number]],0,0),_xlpm.X,_xlfn.XLOOKUP(AE61,Exp_Shift[[Rating]:[Rating]],Exp_Shift[[Number]:[Number]],0,0), IF(_xlpm.Fin-_xlpm.Init&gt;0, _xlfn.XLOOKUP(MIN(4,_xlpm.X+1),Exp_Shift[[Number]:[Number]],Exp_Shift[[Rating]:[Rating]],0,0),IF(_xlpm.Fin-_xlpm.Init&lt;0,_xlfn.XLOOKUP(MAX(0,_xlpm.X),Exp_Shift[[Number]:[Number]],Exp_Shift[[Rating]:[Rating]],0,0),AE61)))</f>
        <v>E</v>
      </c>
    </row>
    <row r="85" spans="8:31" ht="18" x14ac:dyDescent="0.35">
      <c r="H85" s="26">
        <v>28</v>
      </c>
      <c r="I85" s="332" t="s">
        <v>120</v>
      </c>
      <c r="J85" s="328" t="s">
        <v>218</v>
      </c>
      <c r="K85" s="23" t="str" cm="1">
        <f t="array" ref="K85">_xlfn.SWITCH(K62,"N/A","L","L","M","M","H","H","E","E","N/A")</f>
        <v>H</v>
      </c>
      <c r="L85" t="str" cm="1">
        <f t="array" ref="L85">_xlfn.SWITCH(L62,"N/A","L","L","M","M","H","H","E","E","N/A")</f>
        <v>H</v>
      </c>
      <c r="M85" t="str" cm="1">
        <f t="array" ref="M85">_xlfn.SWITCH(M62,"N/A","L","L","M","M","H","H","E","E","N/A")</f>
        <v>E</v>
      </c>
      <c r="N85" t="str" cm="1">
        <f t="array" ref="N85">_xlfn.SWITCH(N62,"N/A","L","L","M","M","H","H","E","E","N/A")</f>
        <v>M</v>
      </c>
      <c r="O85" t="str" cm="1">
        <f t="array" ref="O85">_xlfn.SWITCH(O62,"N/A","L","L","M","M","H","H","E","E","N/A")</f>
        <v>L</v>
      </c>
      <c r="P85" t="str" cm="1">
        <f t="array" ref="P85">_xlfn.SWITCH(P62,"N/A","L","L","M","M","H","H","E","E","N/A")</f>
        <v>H</v>
      </c>
      <c r="Q85" s="19" t="str" cm="1">
        <f t="array" ref="Q85">_xlfn.SWITCH(Q62,"N/A","L","L","M","M","H","H","E","E","N/A")</f>
        <v>H</v>
      </c>
      <c r="R85" s="23" t="str" cm="1">
        <f t="array" ref="R85">_xlfn.LET(_xlpm.Fin,_xlfn.XLOOKUP(K85,Exp_Shift[[Rating]:[Rating]],Exp_Shift[[Number]:[Number]],0,0),_xlpm.Init,_xlfn.XLOOKUP(K62,Exp_Shift[[Rating]:[Rating]],Exp_Shift[[Number]:[Number]],0,0),_xlpm.X,_xlfn.XLOOKUP(R62,Exp_Shift[[Rating]:[Rating]],Exp_Shift[[Number]:[Number]],0,0), IF(_xlpm.Fin-_xlpm.Init&gt;0, _xlfn.XLOOKUP(MIN(4,_xlpm.X+_xlpm.Fin-_xlpm.Init),Exp_Shift[[Number]:[Number]],Exp_Shift[[Rating]:[Rating]],0,0),IF(_xlpm.Fin-_xlpm.Init&lt;0,_xlfn.XLOOKUP(MAX(0,_xlpm.X-1),Exp_Shift[[Number]:[Number]],Exp_Shift[[Rating]:[Rating]],0,0),R62)))</f>
        <v>E</v>
      </c>
      <c r="S85" t="str" cm="1">
        <f t="array" ref="S85">_xlfn.LET(_xlpm.Fin,_xlfn.XLOOKUP(L85,Exp_Shift[[Rating]:[Rating]],Exp_Shift[[Number]:[Number]],0,0),_xlpm.Init,_xlfn.XLOOKUP(L62,Exp_Shift[[Rating]:[Rating]],Exp_Shift[[Number]:[Number]],0,0),_xlpm.X,_xlfn.XLOOKUP(S62,Exp_Shift[[Rating]:[Rating]],Exp_Shift[[Number]:[Number]],0,0), IF(_xlpm.Fin-_xlpm.Init&gt;0, _xlfn.XLOOKUP(MIN(4,_xlpm.X+_xlpm.Fin-_xlpm.Init),Exp_Shift[[Number]:[Number]],Exp_Shift[[Rating]:[Rating]],0,0),IF(_xlpm.Fin-_xlpm.Init&lt;0,_xlfn.XLOOKUP(MAX(0,_xlpm.X-1),Exp_Shift[[Number]:[Number]],Exp_Shift[[Rating]:[Rating]],0,0),S62)))</f>
        <v>H</v>
      </c>
      <c r="T85" t="str" cm="1">
        <f t="array" ref="T85">_xlfn.LET(_xlpm.Fin,_xlfn.XLOOKUP(M85,Exp_Shift[[Rating]:[Rating]],Exp_Shift[[Number]:[Number]],0,0),_xlpm.Init,_xlfn.XLOOKUP(M62,Exp_Shift[[Rating]:[Rating]],Exp_Shift[[Number]:[Number]],0,0),_xlpm.X,_xlfn.XLOOKUP(T62,Exp_Shift[[Rating]:[Rating]],Exp_Shift[[Number]:[Number]],0,0), IF(_xlpm.Fin-_xlpm.Init&gt;0, _xlfn.XLOOKUP(MIN(4,_xlpm.X+_xlpm.Fin-_xlpm.Init),Exp_Shift[[Number]:[Number]],Exp_Shift[[Rating]:[Rating]],0,0),IF(_xlpm.Fin-_xlpm.Init&lt;0,_xlfn.XLOOKUP(MAX(0,_xlpm.X-1),Exp_Shift[[Number]:[Number]],Exp_Shift[[Rating]:[Rating]],0,0),T62)))</f>
        <v>E</v>
      </c>
      <c r="U85" t="str" cm="1">
        <f t="array" ref="U85">_xlfn.LET(_xlpm.Fin,_xlfn.XLOOKUP(N85,Exp_Shift[[Rating]:[Rating]],Exp_Shift[[Number]:[Number]],0,0),_xlpm.Init,_xlfn.XLOOKUP(N62,Exp_Shift[[Rating]:[Rating]],Exp_Shift[[Number]:[Number]],0,0),_xlpm.X,_xlfn.XLOOKUP(U62,Exp_Shift[[Rating]:[Rating]],Exp_Shift[[Number]:[Number]],0,0), IF(_xlpm.Fin-_xlpm.Init&gt;0, _xlfn.XLOOKUP(MIN(4,_xlpm.X+_xlpm.Fin-_xlpm.Init),Exp_Shift[[Number]:[Number]],Exp_Shift[[Rating]:[Rating]],0,0),IF(_xlpm.Fin-_xlpm.Init&lt;0,_xlfn.XLOOKUP(MAX(0,_xlpm.X-1),Exp_Shift[[Number]:[Number]],Exp_Shift[[Rating]:[Rating]],0,0),U62)))</f>
        <v>H</v>
      </c>
      <c r="V85" t="str" cm="1">
        <f t="array" ref="V85">_xlfn.LET(_xlpm.Fin,_xlfn.XLOOKUP(O85,Exp_Shift[[Rating]:[Rating]],Exp_Shift[[Number]:[Number]],0,0),_xlpm.Init,_xlfn.XLOOKUP(O62,Exp_Shift[[Rating]:[Rating]],Exp_Shift[[Number]:[Number]],0,0),_xlpm.X,_xlfn.XLOOKUP(V62,Exp_Shift[[Rating]:[Rating]],Exp_Shift[[Number]:[Number]],0,0), IF(_xlpm.Fin-_xlpm.Init&gt;0, _xlfn.XLOOKUP(MIN(4,_xlpm.X+_xlpm.Fin-_xlpm.Init),Exp_Shift[[Number]:[Number]],Exp_Shift[[Rating]:[Rating]],0,0),IF(_xlpm.Fin-_xlpm.Init&lt;0,_xlfn.XLOOKUP(MAX(0,_xlpm.X-1),Exp_Shift[[Number]:[Number]],Exp_Shift[[Rating]:[Rating]],0,0),V62)))</f>
        <v>L</v>
      </c>
      <c r="W85" t="str" cm="1">
        <f t="array" ref="W85">_xlfn.LET(_xlpm.Fin,_xlfn.XLOOKUP(P85,Exp_Shift[[Rating]:[Rating]],Exp_Shift[[Number]:[Number]],0,0),_xlpm.Init,_xlfn.XLOOKUP(P62,Exp_Shift[[Rating]:[Rating]],Exp_Shift[[Number]:[Number]],0,0),_xlpm.X,_xlfn.XLOOKUP(W62,Exp_Shift[[Rating]:[Rating]],Exp_Shift[[Number]:[Number]],0,0), IF(_xlpm.Fin-_xlpm.Init&gt;0, _xlfn.XLOOKUP(MIN(4,_xlpm.X+_xlpm.Fin-_xlpm.Init),Exp_Shift[[Number]:[Number]],Exp_Shift[[Rating]:[Rating]],0,0),IF(_xlpm.Fin-_xlpm.Init&lt;0,_xlfn.XLOOKUP(MAX(0,_xlpm.X-1),Exp_Shift[[Number]:[Number]],Exp_Shift[[Rating]:[Rating]],0,0),W62)))</f>
        <v>E</v>
      </c>
      <c r="X85" s="19" t="str" cm="1">
        <f t="array" ref="X85">_xlfn.LET(_xlpm.Fin,_xlfn.XLOOKUP(Q85,Exp_Shift[[Rating]:[Rating]],Exp_Shift[[Number]:[Number]],0,0),_xlpm.Init,_xlfn.XLOOKUP(Q62,Exp_Shift[[Rating]:[Rating]],Exp_Shift[[Number]:[Number]],0,0),_xlpm.X,_xlfn.XLOOKUP(X62,Exp_Shift[[Rating]:[Rating]],Exp_Shift[[Number]:[Number]],0,0), IF(_xlpm.Fin-_xlpm.Init&gt;0, _xlfn.XLOOKUP(MIN(4,_xlpm.X+_xlpm.Fin-_xlpm.Init),Exp_Shift[[Number]:[Number]],Exp_Shift[[Rating]:[Rating]],0,0),IF(_xlpm.Fin-_xlpm.Init&lt;0,_xlfn.XLOOKUP(MAX(0,_xlpm.X-1),Exp_Shift[[Number]:[Number]],Exp_Shift[[Rating]:[Rating]],0,0),X62)))</f>
        <v>E</v>
      </c>
      <c r="Y85" s="23" t="str" cm="1">
        <f t="array" ref="Y85">_xlfn.LET(_xlpm.Fin,_xlfn.XLOOKUP(K85,Exp_Shift[[Rating]:[Rating]],Exp_Shift[[Number]:[Number]],0,0),_xlpm.Init,_xlfn.XLOOKUP(K62,Exp_Shift[[Rating]:[Rating]],Exp_Shift[[Number]:[Number]],0,0),_xlpm.X,_xlfn.XLOOKUP(Y62,Exp_Shift[[Rating]:[Rating]],Exp_Shift[[Number]:[Number]],0,0), IF(_xlpm.Fin-_xlpm.Init&gt;0, _xlfn.XLOOKUP(MIN(4,_xlpm.X+1),Exp_Shift[[Number]:[Number]],Exp_Shift[[Rating]:[Rating]],0,0),IF(_xlpm.Fin-_xlpm.Init&lt;0,_xlfn.XLOOKUP(MAX(0,_xlpm.X),Exp_Shift[[Number]:[Number]],Exp_Shift[[Rating]:[Rating]],0,0),Y62)))</f>
        <v>E</v>
      </c>
      <c r="Z85" t="str" cm="1">
        <f t="array" ref="Z85">_xlfn.LET(_xlpm.Fin,_xlfn.XLOOKUP(L85,Exp_Shift[[Rating]:[Rating]],Exp_Shift[[Number]:[Number]],0,0),_xlpm.Init,_xlfn.XLOOKUP(L62,Exp_Shift[[Rating]:[Rating]],Exp_Shift[[Number]:[Number]],0,0),_xlpm.X,_xlfn.XLOOKUP(Z62,Exp_Shift[[Rating]:[Rating]],Exp_Shift[[Number]:[Number]],0,0), IF(_xlpm.Fin-_xlpm.Init&gt;0, _xlfn.XLOOKUP(MIN(4,_xlpm.X+1),Exp_Shift[[Number]:[Number]],Exp_Shift[[Rating]:[Rating]],0,0),IF(_xlpm.Fin-_xlpm.Init&lt;0,_xlfn.XLOOKUP(MAX(0,_xlpm.X),Exp_Shift[[Number]:[Number]],Exp_Shift[[Rating]:[Rating]],0,0),Z62)))</f>
        <v>E</v>
      </c>
      <c r="AA85" t="str" cm="1">
        <f t="array" ref="AA85">_xlfn.LET(_xlpm.Fin,_xlfn.XLOOKUP(M85,Exp_Shift[[Rating]:[Rating]],Exp_Shift[[Number]:[Number]],0,0),_xlpm.Init,_xlfn.XLOOKUP(M62,Exp_Shift[[Rating]:[Rating]],Exp_Shift[[Number]:[Number]],0,0),_xlpm.X,_xlfn.XLOOKUP(AA62,Exp_Shift[[Rating]:[Rating]],Exp_Shift[[Number]:[Number]],0,0), IF(_xlpm.Fin-_xlpm.Init&gt;0, _xlfn.XLOOKUP(MIN(4,_xlpm.X+1),Exp_Shift[[Number]:[Number]],Exp_Shift[[Rating]:[Rating]],0,0),IF(_xlpm.Fin-_xlpm.Init&lt;0,_xlfn.XLOOKUP(MAX(0,_xlpm.X),Exp_Shift[[Number]:[Number]],Exp_Shift[[Rating]:[Rating]],0,0),AA62)))</f>
        <v>E</v>
      </c>
      <c r="AB85" t="str" cm="1">
        <f t="array" ref="AB85">_xlfn.LET(_xlpm.Fin,_xlfn.XLOOKUP(N85,Exp_Shift[[Rating]:[Rating]],Exp_Shift[[Number]:[Number]],0,0),_xlpm.Init,_xlfn.XLOOKUP(N62,Exp_Shift[[Rating]:[Rating]],Exp_Shift[[Number]:[Number]],0,0),_xlpm.X,_xlfn.XLOOKUP(AB62,Exp_Shift[[Rating]:[Rating]],Exp_Shift[[Number]:[Number]],0,0), IF(_xlpm.Fin-_xlpm.Init&gt;0, _xlfn.XLOOKUP(MIN(4,_xlpm.X+1),Exp_Shift[[Number]:[Number]],Exp_Shift[[Rating]:[Rating]],0,0),IF(_xlpm.Fin-_xlpm.Init&lt;0,_xlfn.XLOOKUP(MAX(0,_xlpm.X),Exp_Shift[[Number]:[Number]],Exp_Shift[[Rating]:[Rating]],0,0),AB62)))</f>
        <v>H</v>
      </c>
      <c r="AC85" t="str" cm="1">
        <f t="array" ref="AC85">_xlfn.LET(_xlpm.Fin,_xlfn.XLOOKUP(O85,Exp_Shift[[Rating]:[Rating]],Exp_Shift[[Number]:[Number]],0,0),_xlpm.Init,_xlfn.XLOOKUP(O62,Exp_Shift[[Rating]:[Rating]],Exp_Shift[[Number]:[Number]],0,0),_xlpm.X,_xlfn.XLOOKUP(AC62,Exp_Shift[[Rating]:[Rating]],Exp_Shift[[Number]:[Number]],0,0), IF(_xlpm.Fin-_xlpm.Init&gt;0, _xlfn.XLOOKUP(MIN(4,_xlpm.X+1),Exp_Shift[[Number]:[Number]],Exp_Shift[[Rating]:[Rating]],0,0),IF(_xlpm.Fin-_xlpm.Init&lt;0,_xlfn.XLOOKUP(MAX(0,_xlpm.X),Exp_Shift[[Number]:[Number]],Exp_Shift[[Rating]:[Rating]],0,0),AC62)))</f>
        <v>L</v>
      </c>
      <c r="AD85" t="str" cm="1">
        <f t="array" ref="AD85">_xlfn.LET(_xlpm.Fin,_xlfn.XLOOKUP(P85,Exp_Shift[[Rating]:[Rating]],Exp_Shift[[Number]:[Number]],0,0),_xlpm.Init,_xlfn.XLOOKUP(P62,Exp_Shift[[Rating]:[Rating]],Exp_Shift[[Number]:[Number]],0,0),_xlpm.X,_xlfn.XLOOKUP(AD62,Exp_Shift[[Rating]:[Rating]],Exp_Shift[[Number]:[Number]],0,0), IF(_xlpm.Fin-_xlpm.Init&gt;0, _xlfn.XLOOKUP(MIN(4,_xlpm.X+1),Exp_Shift[[Number]:[Number]],Exp_Shift[[Rating]:[Rating]],0,0),IF(_xlpm.Fin-_xlpm.Init&lt;0,_xlfn.XLOOKUP(MAX(0,_xlpm.X),Exp_Shift[[Number]:[Number]],Exp_Shift[[Rating]:[Rating]],0,0),AD62)))</f>
        <v>E</v>
      </c>
      <c r="AE85" s="27" t="str" cm="1">
        <f t="array" ref="AE85">_xlfn.LET(_xlpm.Fin,_xlfn.XLOOKUP(Q85,Exp_Shift[[Rating]:[Rating]],Exp_Shift[[Number]:[Number]],0,0),_xlpm.Init,_xlfn.XLOOKUP(Q62,Exp_Shift[[Rating]:[Rating]],Exp_Shift[[Number]:[Number]],0,0),_xlpm.X,_xlfn.XLOOKUP(AE62,Exp_Shift[[Rating]:[Rating]],Exp_Shift[[Number]:[Number]],0,0), IF(_xlpm.Fin-_xlpm.Init&gt;0, _xlfn.XLOOKUP(MIN(4,_xlpm.X+1),Exp_Shift[[Number]:[Number]],Exp_Shift[[Rating]:[Rating]],0,0),IF(_xlpm.Fin-_xlpm.Init&lt;0,_xlfn.XLOOKUP(MAX(0,_xlpm.X),Exp_Shift[[Number]:[Number]],Exp_Shift[[Rating]:[Rating]],0,0),AE62)))</f>
        <v>E</v>
      </c>
    </row>
    <row r="86" spans="8:31" ht="18" x14ac:dyDescent="0.35">
      <c r="H86" s="26">
        <v>29</v>
      </c>
      <c r="I86" s="332" t="s">
        <v>120</v>
      </c>
      <c r="J86" s="328" t="s">
        <v>220</v>
      </c>
      <c r="K86" s="23" t="str" cm="1">
        <f t="array" ref="K86">_xlfn.SWITCH(K63,"N/A","L","L","M","M","H","H","E","E","N/A")</f>
        <v>H</v>
      </c>
      <c r="L86" t="str" cm="1">
        <f t="array" ref="L86">_xlfn.SWITCH(L63,"N/A","L","L","M","M","H","H","E","E","N/A")</f>
        <v>H</v>
      </c>
      <c r="M86" t="str" cm="1">
        <f t="array" ref="M86">_xlfn.SWITCH(M63,"N/A","L","L","M","M","H","H","E","E","N/A")</f>
        <v>E</v>
      </c>
      <c r="N86" t="str" cm="1">
        <f t="array" ref="N86">_xlfn.SWITCH(N63,"N/A","L","L","M","M","H","H","E","E","N/A")</f>
        <v>H</v>
      </c>
      <c r="O86" t="str" cm="1">
        <f t="array" ref="O86">_xlfn.SWITCH(O63,"N/A","L","L","M","M","H","H","E","E","N/A")</f>
        <v>L</v>
      </c>
      <c r="P86" t="str" cm="1">
        <f t="array" ref="P86">_xlfn.SWITCH(P63,"N/A","L","L","M","M","H","H","E","E","N/A")</f>
        <v>L</v>
      </c>
      <c r="Q86" s="19" t="str" cm="1">
        <f t="array" ref="Q86">_xlfn.SWITCH(Q63,"N/A","L","L","M","M","H","H","E","E","N/A")</f>
        <v>H</v>
      </c>
      <c r="R86" s="23" t="str" cm="1">
        <f t="array" ref="R86">_xlfn.LET(_xlpm.Fin,_xlfn.XLOOKUP(K86,Exp_Shift[[Rating]:[Rating]],Exp_Shift[[Number]:[Number]],0,0),_xlpm.Init,_xlfn.XLOOKUP(K63,Exp_Shift[[Rating]:[Rating]],Exp_Shift[[Number]:[Number]],0,0),_xlpm.X,_xlfn.XLOOKUP(R63,Exp_Shift[[Rating]:[Rating]],Exp_Shift[[Number]:[Number]],0,0), IF(_xlpm.Fin-_xlpm.Init&gt;0, _xlfn.XLOOKUP(MIN(4,_xlpm.X+_xlpm.Fin-_xlpm.Init),Exp_Shift[[Number]:[Number]],Exp_Shift[[Rating]:[Rating]],0,0),IF(_xlpm.Fin-_xlpm.Init&lt;0,_xlfn.XLOOKUP(MAX(0,_xlpm.X-1),Exp_Shift[[Number]:[Number]],Exp_Shift[[Rating]:[Rating]],0,0),R63)))</f>
        <v>E</v>
      </c>
      <c r="S86" t="str" cm="1">
        <f t="array" ref="S86">_xlfn.LET(_xlpm.Fin,_xlfn.XLOOKUP(L86,Exp_Shift[[Rating]:[Rating]],Exp_Shift[[Number]:[Number]],0,0),_xlpm.Init,_xlfn.XLOOKUP(L63,Exp_Shift[[Rating]:[Rating]],Exp_Shift[[Number]:[Number]],0,0),_xlpm.X,_xlfn.XLOOKUP(S63,Exp_Shift[[Rating]:[Rating]],Exp_Shift[[Number]:[Number]],0,0), IF(_xlpm.Fin-_xlpm.Init&gt;0, _xlfn.XLOOKUP(MIN(4,_xlpm.X+_xlpm.Fin-_xlpm.Init),Exp_Shift[[Number]:[Number]],Exp_Shift[[Rating]:[Rating]],0,0),IF(_xlpm.Fin-_xlpm.Init&lt;0,_xlfn.XLOOKUP(MAX(0,_xlpm.X-1),Exp_Shift[[Number]:[Number]],Exp_Shift[[Rating]:[Rating]],0,0),S63)))</f>
        <v>H</v>
      </c>
      <c r="T86" t="str" cm="1">
        <f t="array" ref="T86">_xlfn.LET(_xlpm.Fin,_xlfn.XLOOKUP(M86,Exp_Shift[[Rating]:[Rating]],Exp_Shift[[Number]:[Number]],0,0),_xlpm.Init,_xlfn.XLOOKUP(M63,Exp_Shift[[Rating]:[Rating]],Exp_Shift[[Number]:[Number]],0,0),_xlpm.X,_xlfn.XLOOKUP(T63,Exp_Shift[[Rating]:[Rating]],Exp_Shift[[Number]:[Number]],0,0), IF(_xlpm.Fin-_xlpm.Init&gt;0, _xlfn.XLOOKUP(MIN(4,_xlpm.X+_xlpm.Fin-_xlpm.Init),Exp_Shift[[Number]:[Number]],Exp_Shift[[Rating]:[Rating]],0,0),IF(_xlpm.Fin-_xlpm.Init&lt;0,_xlfn.XLOOKUP(MAX(0,_xlpm.X-1),Exp_Shift[[Number]:[Number]],Exp_Shift[[Rating]:[Rating]],0,0),T63)))</f>
        <v>E</v>
      </c>
      <c r="U86" t="str" cm="1">
        <f t="array" ref="U86">_xlfn.LET(_xlpm.Fin,_xlfn.XLOOKUP(N86,Exp_Shift[[Rating]:[Rating]],Exp_Shift[[Number]:[Number]],0,0),_xlpm.Init,_xlfn.XLOOKUP(N63,Exp_Shift[[Rating]:[Rating]],Exp_Shift[[Number]:[Number]],0,0),_xlpm.X,_xlfn.XLOOKUP(U63,Exp_Shift[[Rating]:[Rating]],Exp_Shift[[Number]:[Number]],0,0), IF(_xlpm.Fin-_xlpm.Init&gt;0, _xlfn.XLOOKUP(MIN(4,_xlpm.X+_xlpm.Fin-_xlpm.Init),Exp_Shift[[Number]:[Number]],Exp_Shift[[Rating]:[Rating]],0,0),IF(_xlpm.Fin-_xlpm.Init&lt;0,_xlfn.XLOOKUP(MAX(0,_xlpm.X-1),Exp_Shift[[Number]:[Number]],Exp_Shift[[Rating]:[Rating]],0,0),U63)))</f>
        <v>E</v>
      </c>
      <c r="V86" t="str" cm="1">
        <f t="array" ref="V86">_xlfn.LET(_xlpm.Fin,_xlfn.XLOOKUP(O86,Exp_Shift[[Rating]:[Rating]],Exp_Shift[[Number]:[Number]],0,0),_xlpm.Init,_xlfn.XLOOKUP(O63,Exp_Shift[[Rating]:[Rating]],Exp_Shift[[Number]:[Number]],0,0),_xlpm.X,_xlfn.XLOOKUP(V63,Exp_Shift[[Rating]:[Rating]],Exp_Shift[[Number]:[Number]],0,0), IF(_xlpm.Fin-_xlpm.Init&gt;0, _xlfn.XLOOKUP(MIN(4,_xlpm.X+_xlpm.Fin-_xlpm.Init),Exp_Shift[[Number]:[Number]],Exp_Shift[[Rating]:[Rating]],0,0),IF(_xlpm.Fin-_xlpm.Init&lt;0,_xlfn.XLOOKUP(MAX(0,_xlpm.X-1),Exp_Shift[[Number]:[Number]],Exp_Shift[[Rating]:[Rating]],0,0),V63)))</f>
        <v>L</v>
      </c>
      <c r="W86" t="str" cm="1">
        <f t="array" ref="W86">_xlfn.LET(_xlpm.Fin,_xlfn.XLOOKUP(P86,Exp_Shift[[Rating]:[Rating]],Exp_Shift[[Number]:[Number]],0,0),_xlpm.Init,_xlfn.XLOOKUP(P63,Exp_Shift[[Rating]:[Rating]],Exp_Shift[[Number]:[Number]],0,0),_xlpm.X,_xlfn.XLOOKUP(W63,Exp_Shift[[Rating]:[Rating]],Exp_Shift[[Number]:[Number]],0,0), IF(_xlpm.Fin-_xlpm.Init&gt;0, _xlfn.XLOOKUP(MIN(4,_xlpm.X+_xlpm.Fin-_xlpm.Init),Exp_Shift[[Number]:[Number]],Exp_Shift[[Rating]:[Rating]],0,0),IF(_xlpm.Fin-_xlpm.Init&lt;0,_xlfn.XLOOKUP(MAX(0,_xlpm.X-1),Exp_Shift[[Number]:[Number]],Exp_Shift[[Rating]:[Rating]],0,0),W63)))</f>
        <v>L</v>
      </c>
      <c r="X86" s="19" t="str" cm="1">
        <f t="array" ref="X86">_xlfn.LET(_xlpm.Fin,_xlfn.XLOOKUP(Q86,Exp_Shift[[Rating]:[Rating]],Exp_Shift[[Number]:[Number]],0,0),_xlpm.Init,_xlfn.XLOOKUP(Q63,Exp_Shift[[Rating]:[Rating]],Exp_Shift[[Number]:[Number]],0,0),_xlpm.X,_xlfn.XLOOKUP(X63,Exp_Shift[[Rating]:[Rating]],Exp_Shift[[Number]:[Number]],0,0), IF(_xlpm.Fin-_xlpm.Init&gt;0, _xlfn.XLOOKUP(MIN(4,_xlpm.X+_xlpm.Fin-_xlpm.Init),Exp_Shift[[Number]:[Number]],Exp_Shift[[Rating]:[Rating]],0,0),IF(_xlpm.Fin-_xlpm.Init&lt;0,_xlfn.XLOOKUP(MAX(0,_xlpm.X-1),Exp_Shift[[Number]:[Number]],Exp_Shift[[Rating]:[Rating]],0,0),X63)))</f>
        <v>E</v>
      </c>
      <c r="Y86" s="23" t="str" cm="1">
        <f t="array" ref="Y86">_xlfn.LET(_xlpm.Fin,_xlfn.XLOOKUP(K86,Exp_Shift[[Rating]:[Rating]],Exp_Shift[[Number]:[Number]],0,0),_xlpm.Init,_xlfn.XLOOKUP(K63,Exp_Shift[[Rating]:[Rating]],Exp_Shift[[Number]:[Number]],0,0),_xlpm.X,_xlfn.XLOOKUP(Y63,Exp_Shift[[Rating]:[Rating]],Exp_Shift[[Number]:[Number]],0,0), IF(_xlpm.Fin-_xlpm.Init&gt;0, _xlfn.XLOOKUP(MIN(4,_xlpm.X+1),Exp_Shift[[Number]:[Number]],Exp_Shift[[Rating]:[Rating]],0,0),IF(_xlpm.Fin-_xlpm.Init&lt;0,_xlfn.XLOOKUP(MAX(0,_xlpm.X),Exp_Shift[[Number]:[Number]],Exp_Shift[[Rating]:[Rating]],0,0),Y63)))</f>
        <v>E</v>
      </c>
      <c r="Z86" t="str" cm="1">
        <f t="array" ref="Z86">_xlfn.LET(_xlpm.Fin,_xlfn.XLOOKUP(L86,Exp_Shift[[Rating]:[Rating]],Exp_Shift[[Number]:[Number]],0,0),_xlpm.Init,_xlfn.XLOOKUP(L63,Exp_Shift[[Rating]:[Rating]],Exp_Shift[[Number]:[Number]],0,0),_xlpm.X,_xlfn.XLOOKUP(Z63,Exp_Shift[[Rating]:[Rating]],Exp_Shift[[Number]:[Number]],0,0), IF(_xlpm.Fin-_xlpm.Init&gt;0, _xlfn.XLOOKUP(MIN(4,_xlpm.X+1),Exp_Shift[[Number]:[Number]],Exp_Shift[[Rating]:[Rating]],0,0),IF(_xlpm.Fin-_xlpm.Init&lt;0,_xlfn.XLOOKUP(MAX(0,_xlpm.X),Exp_Shift[[Number]:[Number]],Exp_Shift[[Rating]:[Rating]],0,0),Z63)))</f>
        <v>E</v>
      </c>
      <c r="AA86" t="str" cm="1">
        <f t="array" ref="AA86">_xlfn.LET(_xlpm.Fin,_xlfn.XLOOKUP(M86,Exp_Shift[[Rating]:[Rating]],Exp_Shift[[Number]:[Number]],0,0),_xlpm.Init,_xlfn.XLOOKUP(M63,Exp_Shift[[Rating]:[Rating]],Exp_Shift[[Number]:[Number]],0,0),_xlpm.X,_xlfn.XLOOKUP(AA63,Exp_Shift[[Rating]:[Rating]],Exp_Shift[[Number]:[Number]],0,0), IF(_xlpm.Fin-_xlpm.Init&gt;0, _xlfn.XLOOKUP(MIN(4,_xlpm.X+1),Exp_Shift[[Number]:[Number]],Exp_Shift[[Rating]:[Rating]],0,0),IF(_xlpm.Fin-_xlpm.Init&lt;0,_xlfn.XLOOKUP(MAX(0,_xlpm.X),Exp_Shift[[Number]:[Number]],Exp_Shift[[Rating]:[Rating]],0,0),AA63)))</f>
        <v>E</v>
      </c>
      <c r="AB86" t="str" cm="1">
        <f t="array" ref="AB86">_xlfn.LET(_xlpm.Fin,_xlfn.XLOOKUP(N86,Exp_Shift[[Rating]:[Rating]],Exp_Shift[[Number]:[Number]],0,0),_xlpm.Init,_xlfn.XLOOKUP(N63,Exp_Shift[[Rating]:[Rating]],Exp_Shift[[Number]:[Number]],0,0),_xlpm.X,_xlfn.XLOOKUP(AB63,Exp_Shift[[Rating]:[Rating]],Exp_Shift[[Number]:[Number]],0,0), IF(_xlpm.Fin-_xlpm.Init&gt;0, _xlfn.XLOOKUP(MIN(4,_xlpm.X+1),Exp_Shift[[Number]:[Number]],Exp_Shift[[Rating]:[Rating]],0,0),IF(_xlpm.Fin-_xlpm.Init&lt;0,_xlfn.XLOOKUP(MAX(0,_xlpm.X),Exp_Shift[[Number]:[Number]],Exp_Shift[[Rating]:[Rating]],0,0),AB63)))</f>
        <v>E</v>
      </c>
      <c r="AC86" t="str" cm="1">
        <f t="array" ref="AC86">_xlfn.LET(_xlpm.Fin,_xlfn.XLOOKUP(O86,Exp_Shift[[Rating]:[Rating]],Exp_Shift[[Number]:[Number]],0,0),_xlpm.Init,_xlfn.XLOOKUP(O63,Exp_Shift[[Rating]:[Rating]],Exp_Shift[[Number]:[Number]],0,0),_xlpm.X,_xlfn.XLOOKUP(AC63,Exp_Shift[[Rating]:[Rating]],Exp_Shift[[Number]:[Number]],0,0), IF(_xlpm.Fin-_xlpm.Init&gt;0, _xlfn.XLOOKUP(MIN(4,_xlpm.X+1),Exp_Shift[[Number]:[Number]],Exp_Shift[[Rating]:[Rating]],0,0),IF(_xlpm.Fin-_xlpm.Init&lt;0,_xlfn.XLOOKUP(MAX(0,_xlpm.X),Exp_Shift[[Number]:[Number]],Exp_Shift[[Rating]:[Rating]],0,0),AC63)))</f>
        <v>L</v>
      </c>
      <c r="AD86" t="str" cm="1">
        <f t="array" ref="AD86">_xlfn.LET(_xlpm.Fin,_xlfn.XLOOKUP(P86,Exp_Shift[[Rating]:[Rating]],Exp_Shift[[Number]:[Number]],0,0),_xlpm.Init,_xlfn.XLOOKUP(P63,Exp_Shift[[Rating]:[Rating]],Exp_Shift[[Number]:[Number]],0,0),_xlpm.X,_xlfn.XLOOKUP(AD63,Exp_Shift[[Rating]:[Rating]],Exp_Shift[[Number]:[Number]],0,0), IF(_xlpm.Fin-_xlpm.Init&gt;0, _xlfn.XLOOKUP(MIN(4,_xlpm.X+1),Exp_Shift[[Number]:[Number]],Exp_Shift[[Rating]:[Rating]],0,0),IF(_xlpm.Fin-_xlpm.Init&lt;0,_xlfn.XLOOKUP(MAX(0,_xlpm.X),Exp_Shift[[Number]:[Number]],Exp_Shift[[Rating]:[Rating]],0,0),AD63)))</f>
        <v>L</v>
      </c>
      <c r="AE86" s="27" t="str" cm="1">
        <f t="array" ref="AE86">_xlfn.LET(_xlpm.Fin,_xlfn.XLOOKUP(Q86,Exp_Shift[[Rating]:[Rating]],Exp_Shift[[Number]:[Number]],0,0),_xlpm.Init,_xlfn.XLOOKUP(Q63,Exp_Shift[[Rating]:[Rating]],Exp_Shift[[Number]:[Number]],0,0),_xlpm.X,_xlfn.XLOOKUP(AE63,Exp_Shift[[Rating]:[Rating]],Exp_Shift[[Number]:[Number]],0,0), IF(_xlpm.Fin-_xlpm.Init&gt;0, _xlfn.XLOOKUP(MIN(4,_xlpm.X+1),Exp_Shift[[Number]:[Number]],Exp_Shift[[Rating]:[Rating]],0,0),IF(_xlpm.Fin-_xlpm.Init&lt;0,_xlfn.XLOOKUP(MAX(0,_xlpm.X),Exp_Shift[[Number]:[Number]],Exp_Shift[[Rating]:[Rating]],0,0),AE63)))</f>
        <v>E</v>
      </c>
    </row>
    <row r="87" spans="8:31" ht="18" x14ac:dyDescent="0.35">
      <c r="H87" s="26">
        <v>30</v>
      </c>
      <c r="I87" s="332" t="s">
        <v>120</v>
      </c>
      <c r="J87" s="328" t="s">
        <v>67</v>
      </c>
      <c r="K87" s="23" t="str" cm="1">
        <f t="array" ref="K87">_xlfn.SWITCH(K64,"N/A","L","L","M","M","H","H","E","E","N/A")</f>
        <v>M</v>
      </c>
      <c r="L87" t="str" cm="1">
        <f t="array" ref="L87">_xlfn.SWITCH(L64,"N/A","L","L","M","M","H","H","E","E","N/A")</f>
        <v>H</v>
      </c>
      <c r="M87" t="str" cm="1">
        <f t="array" ref="M87">_xlfn.SWITCH(M64,"N/A","L","L","M","M","H","H","E","E","N/A")</f>
        <v>E</v>
      </c>
      <c r="N87" t="str" cm="1">
        <f t="array" ref="N87">_xlfn.SWITCH(N64,"N/A","L","L","M","M","H","H","E","E","N/A")</f>
        <v>M</v>
      </c>
      <c r="O87" t="str" cm="1">
        <f t="array" ref="O87">_xlfn.SWITCH(O64,"N/A","L","L","M","M","H","H","E","E","N/A")</f>
        <v>L</v>
      </c>
      <c r="P87" t="str" cm="1">
        <f t="array" ref="P87">_xlfn.SWITCH(P64,"N/A","L","L","M","M","H","H","E","E","N/A")</f>
        <v>L</v>
      </c>
      <c r="Q87" s="19" t="str" cm="1">
        <f t="array" ref="Q87">_xlfn.SWITCH(Q64,"N/A","L","L","M","M","H","H","E","E","N/A")</f>
        <v>M</v>
      </c>
      <c r="R87" s="23" t="str" cm="1">
        <f t="array" ref="R87">_xlfn.LET(_xlpm.Fin,_xlfn.XLOOKUP(K87,Exp_Shift[[Rating]:[Rating]],Exp_Shift[[Number]:[Number]],0,0),_xlpm.Init,_xlfn.XLOOKUP(K64,Exp_Shift[[Rating]:[Rating]],Exp_Shift[[Number]:[Number]],0,0),_xlpm.X,_xlfn.XLOOKUP(R64,Exp_Shift[[Rating]:[Rating]],Exp_Shift[[Number]:[Number]],0,0), IF(_xlpm.Fin-_xlpm.Init&gt;0, _xlfn.XLOOKUP(MIN(4,_xlpm.X+_xlpm.Fin-_xlpm.Init),Exp_Shift[[Number]:[Number]],Exp_Shift[[Rating]:[Rating]],0,0),IF(_xlpm.Fin-_xlpm.Init&lt;0,_xlfn.XLOOKUP(MAX(0,_xlpm.X-1),Exp_Shift[[Number]:[Number]],Exp_Shift[[Rating]:[Rating]],0,0),R64)))</f>
        <v>M</v>
      </c>
      <c r="S87" t="str" cm="1">
        <f t="array" ref="S87">_xlfn.LET(_xlpm.Fin,_xlfn.XLOOKUP(L87,Exp_Shift[[Rating]:[Rating]],Exp_Shift[[Number]:[Number]],0,0),_xlpm.Init,_xlfn.XLOOKUP(L64,Exp_Shift[[Rating]:[Rating]],Exp_Shift[[Number]:[Number]],0,0),_xlpm.X,_xlfn.XLOOKUP(S64,Exp_Shift[[Rating]:[Rating]],Exp_Shift[[Number]:[Number]],0,0), IF(_xlpm.Fin-_xlpm.Init&gt;0, _xlfn.XLOOKUP(MIN(4,_xlpm.X+_xlpm.Fin-_xlpm.Init),Exp_Shift[[Number]:[Number]],Exp_Shift[[Rating]:[Rating]],0,0),IF(_xlpm.Fin-_xlpm.Init&lt;0,_xlfn.XLOOKUP(MAX(0,_xlpm.X-1),Exp_Shift[[Number]:[Number]],Exp_Shift[[Rating]:[Rating]],0,0),S64)))</f>
        <v>H</v>
      </c>
      <c r="T87" t="str" cm="1">
        <f t="array" ref="T87">_xlfn.LET(_xlpm.Fin,_xlfn.XLOOKUP(M87,Exp_Shift[[Rating]:[Rating]],Exp_Shift[[Number]:[Number]],0,0),_xlpm.Init,_xlfn.XLOOKUP(M64,Exp_Shift[[Rating]:[Rating]],Exp_Shift[[Number]:[Number]],0,0),_xlpm.X,_xlfn.XLOOKUP(T64,Exp_Shift[[Rating]:[Rating]],Exp_Shift[[Number]:[Number]],0,0), IF(_xlpm.Fin-_xlpm.Init&gt;0, _xlfn.XLOOKUP(MIN(4,_xlpm.X+_xlpm.Fin-_xlpm.Init),Exp_Shift[[Number]:[Number]],Exp_Shift[[Rating]:[Rating]],0,0),IF(_xlpm.Fin-_xlpm.Init&lt;0,_xlfn.XLOOKUP(MAX(0,_xlpm.X-1),Exp_Shift[[Number]:[Number]],Exp_Shift[[Rating]:[Rating]],0,0),T64)))</f>
        <v>E</v>
      </c>
      <c r="U87" t="str" cm="1">
        <f t="array" ref="U87">_xlfn.LET(_xlpm.Fin,_xlfn.XLOOKUP(N87,Exp_Shift[[Rating]:[Rating]],Exp_Shift[[Number]:[Number]],0,0),_xlpm.Init,_xlfn.XLOOKUP(N64,Exp_Shift[[Rating]:[Rating]],Exp_Shift[[Number]:[Number]],0,0),_xlpm.X,_xlfn.XLOOKUP(U64,Exp_Shift[[Rating]:[Rating]],Exp_Shift[[Number]:[Number]],0,0), IF(_xlpm.Fin-_xlpm.Init&gt;0, _xlfn.XLOOKUP(MIN(4,_xlpm.X+_xlpm.Fin-_xlpm.Init),Exp_Shift[[Number]:[Number]],Exp_Shift[[Rating]:[Rating]],0,0),IF(_xlpm.Fin-_xlpm.Init&lt;0,_xlfn.XLOOKUP(MAX(0,_xlpm.X-1),Exp_Shift[[Number]:[Number]],Exp_Shift[[Rating]:[Rating]],0,0),U64)))</f>
        <v>H</v>
      </c>
      <c r="V87" t="str" cm="1">
        <f t="array" ref="V87">_xlfn.LET(_xlpm.Fin,_xlfn.XLOOKUP(O87,Exp_Shift[[Rating]:[Rating]],Exp_Shift[[Number]:[Number]],0,0),_xlpm.Init,_xlfn.XLOOKUP(O64,Exp_Shift[[Rating]:[Rating]],Exp_Shift[[Number]:[Number]],0,0),_xlpm.X,_xlfn.XLOOKUP(V64,Exp_Shift[[Rating]:[Rating]],Exp_Shift[[Number]:[Number]],0,0), IF(_xlpm.Fin-_xlpm.Init&gt;0, _xlfn.XLOOKUP(MIN(4,_xlpm.X+_xlpm.Fin-_xlpm.Init),Exp_Shift[[Number]:[Number]],Exp_Shift[[Rating]:[Rating]],0,0),IF(_xlpm.Fin-_xlpm.Init&lt;0,_xlfn.XLOOKUP(MAX(0,_xlpm.X-1),Exp_Shift[[Number]:[Number]],Exp_Shift[[Rating]:[Rating]],0,0),V64)))</f>
        <v>L</v>
      </c>
      <c r="W87" t="str" cm="1">
        <f t="array" ref="W87">_xlfn.LET(_xlpm.Fin,_xlfn.XLOOKUP(P87,Exp_Shift[[Rating]:[Rating]],Exp_Shift[[Number]:[Number]],0,0),_xlpm.Init,_xlfn.XLOOKUP(P64,Exp_Shift[[Rating]:[Rating]],Exp_Shift[[Number]:[Number]],0,0),_xlpm.X,_xlfn.XLOOKUP(W64,Exp_Shift[[Rating]:[Rating]],Exp_Shift[[Number]:[Number]],0,0), IF(_xlpm.Fin-_xlpm.Init&gt;0, _xlfn.XLOOKUP(MIN(4,_xlpm.X+_xlpm.Fin-_xlpm.Init),Exp_Shift[[Number]:[Number]],Exp_Shift[[Rating]:[Rating]],0,0),IF(_xlpm.Fin-_xlpm.Init&lt;0,_xlfn.XLOOKUP(MAX(0,_xlpm.X-1),Exp_Shift[[Number]:[Number]],Exp_Shift[[Rating]:[Rating]],0,0),W64)))</f>
        <v>L</v>
      </c>
      <c r="X87" s="19" t="str" cm="1">
        <f t="array" ref="X87">_xlfn.LET(_xlpm.Fin,_xlfn.XLOOKUP(Q87,Exp_Shift[[Rating]:[Rating]],Exp_Shift[[Number]:[Number]],0,0),_xlpm.Init,_xlfn.XLOOKUP(Q64,Exp_Shift[[Rating]:[Rating]],Exp_Shift[[Number]:[Number]],0,0),_xlpm.X,_xlfn.XLOOKUP(X64,Exp_Shift[[Rating]:[Rating]],Exp_Shift[[Number]:[Number]],0,0), IF(_xlpm.Fin-_xlpm.Init&gt;0, _xlfn.XLOOKUP(MIN(4,_xlpm.X+_xlpm.Fin-_xlpm.Init),Exp_Shift[[Number]:[Number]],Exp_Shift[[Rating]:[Rating]],0,0),IF(_xlpm.Fin-_xlpm.Init&lt;0,_xlfn.XLOOKUP(MAX(0,_xlpm.X-1),Exp_Shift[[Number]:[Number]],Exp_Shift[[Rating]:[Rating]],0,0),X64)))</f>
        <v>M</v>
      </c>
      <c r="Y87" s="23" t="str" cm="1">
        <f t="array" ref="Y87">_xlfn.LET(_xlpm.Fin,_xlfn.XLOOKUP(K87,Exp_Shift[[Rating]:[Rating]],Exp_Shift[[Number]:[Number]],0,0),_xlpm.Init,_xlfn.XLOOKUP(K64,Exp_Shift[[Rating]:[Rating]],Exp_Shift[[Number]:[Number]],0,0),_xlpm.X,_xlfn.XLOOKUP(Y64,Exp_Shift[[Rating]:[Rating]],Exp_Shift[[Number]:[Number]],0,0), IF(_xlpm.Fin-_xlpm.Init&gt;0, _xlfn.XLOOKUP(MIN(4,_xlpm.X+1),Exp_Shift[[Number]:[Number]],Exp_Shift[[Rating]:[Rating]],0,0),IF(_xlpm.Fin-_xlpm.Init&lt;0,_xlfn.XLOOKUP(MAX(0,_xlpm.X),Exp_Shift[[Number]:[Number]],Exp_Shift[[Rating]:[Rating]],0,0),Y64)))</f>
        <v>H</v>
      </c>
      <c r="Z87" t="str" cm="1">
        <f t="array" ref="Z87">_xlfn.LET(_xlpm.Fin,_xlfn.XLOOKUP(L87,Exp_Shift[[Rating]:[Rating]],Exp_Shift[[Number]:[Number]],0,0),_xlpm.Init,_xlfn.XLOOKUP(L64,Exp_Shift[[Rating]:[Rating]],Exp_Shift[[Number]:[Number]],0,0),_xlpm.X,_xlfn.XLOOKUP(Z64,Exp_Shift[[Rating]:[Rating]],Exp_Shift[[Number]:[Number]],0,0), IF(_xlpm.Fin-_xlpm.Init&gt;0, _xlfn.XLOOKUP(MIN(4,_xlpm.X+1),Exp_Shift[[Number]:[Number]],Exp_Shift[[Rating]:[Rating]],0,0),IF(_xlpm.Fin-_xlpm.Init&lt;0,_xlfn.XLOOKUP(MAX(0,_xlpm.X),Exp_Shift[[Number]:[Number]],Exp_Shift[[Rating]:[Rating]],0,0),Z64)))</f>
        <v>E</v>
      </c>
      <c r="AA87" t="str" cm="1">
        <f t="array" ref="AA87">_xlfn.LET(_xlpm.Fin,_xlfn.XLOOKUP(M87,Exp_Shift[[Rating]:[Rating]],Exp_Shift[[Number]:[Number]],0,0),_xlpm.Init,_xlfn.XLOOKUP(M64,Exp_Shift[[Rating]:[Rating]],Exp_Shift[[Number]:[Number]],0,0),_xlpm.X,_xlfn.XLOOKUP(AA64,Exp_Shift[[Rating]:[Rating]],Exp_Shift[[Number]:[Number]],0,0), IF(_xlpm.Fin-_xlpm.Init&gt;0, _xlfn.XLOOKUP(MIN(4,_xlpm.X+1),Exp_Shift[[Number]:[Number]],Exp_Shift[[Rating]:[Rating]],0,0),IF(_xlpm.Fin-_xlpm.Init&lt;0,_xlfn.XLOOKUP(MAX(0,_xlpm.X),Exp_Shift[[Number]:[Number]],Exp_Shift[[Rating]:[Rating]],0,0),AA64)))</f>
        <v>E</v>
      </c>
      <c r="AB87" t="str" cm="1">
        <f t="array" ref="AB87">_xlfn.LET(_xlpm.Fin,_xlfn.XLOOKUP(N87,Exp_Shift[[Rating]:[Rating]],Exp_Shift[[Number]:[Number]],0,0),_xlpm.Init,_xlfn.XLOOKUP(N64,Exp_Shift[[Rating]:[Rating]],Exp_Shift[[Number]:[Number]],0,0),_xlpm.X,_xlfn.XLOOKUP(AB64,Exp_Shift[[Rating]:[Rating]],Exp_Shift[[Number]:[Number]],0,0), IF(_xlpm.Fin-_xlpm.Init&gt;0, _xlfn.XLOOKUP(MIN(4,_xlpm.X+1),Exp_Shift[[Number]:[Number]],Exp_Shift[[Rating]:[Rating]],0,0),IF(_xlpm.Fin-_xlpm.Init&lt;0,_xlfn.XLOOKUP(MAX(0,_xlpm.X),Exp_Shift[[Number]:[Number]],Exp_Shift[[Rating]:[Rating]],0,0),AB64)))</f>
        <v>H</v>
      </c>
      <c r="AC87" t="str" cm="1">
        <f t="array" ref="AC87">_xlfn.LET(_xlpm.Fin,_xlfn.XLOOKUP(O87,Exp_Shift[[Rating]:[Rating]],Exp_Shift[[Number]:[Number]],0,0),_xlpm.Init,_xlfn.XLOOKUP(O64,Exp_Shift[[Rating]:[Rating]],Exp_Shift[[Number]:[Number]],0,0),_xlpm.X,_xlfn.XLOOKUP(AC64,Exp_Shift[[Rating]:[Rating]],Exp_Shift[[Number]:[Number]],0,0), IF(_xlpm.Fin-_xlpm.Init&gt;0, _xlfn.XLOOKUP(MIN(4,_xlpm.X+1),Exp_Shift[[Number]:[Number]],Exp_Shift[[Rating]:[Rating]],0,0),IF(_xlpm.Fin-_xlpm.Init&lt;0,_xlfn.XLOOKUP(MAX(0,_xlpm.X),Exp_Shift[[Number]:[Number]],Exp_Shift[[Rating]:[Rating]],0,0),AC64)))</f>
        <v>L</v>
      </c>
      <c r="AD87" t="str" cm="1">
        <f t="array" ref="AD87">_xlfn.LET(_xlpm.Fin,_xlfn.XLOOKUP(P87,Exp_Shift[[Rating]:[Rating]],Exp_Shift[[Number]:[Number]],0,0),_xlpm.Init,_xlfn.XLOOKUP(P64,Exp_Shift[[Rating]:[Rating]],Exp_Shift[[Number]:[Number]],0,0),_xlpm.X,_xlfn.XLOOKUP(AD64,Exp_Shift[[Rating]:[Rating]],Exp_Shift[[Number]:[Number]],0,0), IF(_xlpm.Fin-_xlpm.Init&gt;0, _xlfn.XLOOKUP(MIN(4,_xlpm.X+1),Exp_Shift[[Number]:[Number]],Exp_Shift[[Rating]:[Rating]],0,0),IF(_xlpm.Fin-_xlpm.Init&lt;0,_xlfn.XLOOKUP(MAX(0,_xlpm.X),Exp_Shift[[Number]:[Number]],Exp_Shift[[Rating]:[Rating]],0,0),AD64)))</f>
        <v>L</v>
      </c>
      <c r="AE87" s="27" t="str" cm="1">
        <f t="array" ref="AE87">_xlfn.LET(_xlpm.Fin,_xlfn.XLOOKUP(Q87,Exp_Shift[[Rating]:[Rating]],Exp_Shift[[Number]:[Number]],0,0),_xlpm.Init,_xlfn.XLOOKUP(Q64,Exp_Shift[[Rating]:[Rating]],Exp_Shift[[Number]:[Number]],0,0),_xlpm.X,_xlfn.XLOOKUP(AE64,Exp_Shift[[Rating]:[Rating]],Exp_Shift[[Number]:[Number]],0,0), IF(_xlpm.Fin-_xlpm.Init&gt;0, _xlfn.XLOOKUP(MIN(4,_xlpm.X+1),Exp_Shift[[Number]:[Number]],Exp_Shift[[Rating]:[Rating]],0,0),IF(_xlpm.Fin-_xlpm.Init&lt;0,_xlfn.XLOOKUP(MAX(0,_xlpm.X),Exp_Shift[[Number]:[Number]],Exp_Shift[[Rating]:[Rating]],0,0),AE64)))</f>
        <v>E</v>
      </c>
    </row>
    <row r="88" spans="8:31" ht="18" x14ac:dyDescent="0.35">
      <c r="H88" s="26">
        <v>31</v>
      </c>
      <c r="I88" s="332" t="s">
        <v>120</v>
      </c>
      <c r="J88" s="328" t="s">
        <v>121</v>
      </c>
      <c r="K88" s="23" t="str" cm="1">
        <f t="array" ref="K88">_xlfn.SWITCH(K65,"N/A","L","L","M","M","H","H","E","E","N/A")</f>
        <v>M</v>
      </c>
      <c r="L88" t="str" cm="1">
        <f t="array" ref="L88">_xlfn.SWITCH(L65,"N/A","L","L","M","M","H","H","E","E","N/A")</f>
        <v>H</v>
      </c>
      <c r="M88" t="str" cm="1">
        <f t="array" ref="M88">_xlfn.SWITCH(M65,"N/A","L","L","M","M","H","H","E","E","N/A")</f>
        <v>E</v>
      </c>
      <c r="N88" t="str" cm="1">
        <f t="array" ref="N88">_xlfn.SWITCH(N65,"N/A","L","L","M","M","H","H","E","E","N/A")</f>
        <v>M</v>
      </c>
      <c r="O88" t="str" cm="1">
        <f t="array" ref="O88">_xlfn.SWITCH(O65,"N/A","L","L","M","M","H","H","E","E","N/A")</f>
        <v>L</v>
      </c>
      <c r="P88" t="str" cm="1">
        <f t="array" ref="P88">_xlfn.SWITCH(P65,"N/A","L","L","M","M","H","H","E","E","N/A")</f>
        <v>L</v>
      </c>
      <c r="Q88" s="19" t="str" cm="1">
        <f t="array" ref="Q88">_xlfn.SWITCH(Q65,"N/A","L","L","M","M","H","H","E","E","N/A")</f>
        <v>H</v>
      </c>
      <c r="R88" s="23" t="str" cm="1">
        <f t="array" ref="R88">_xlfn.LET(_xlpm.Fin,_xlfn.XLOOKUP(K88,Exp_Shift[[Rating]:[Rating]],Exp_Shift[[Number]:[Number]],0,0),_xlpm.Init,_xlfn.XLOOKUP(K65,Exp_Shift[[Rating]:[Rating]],Exp_Shift[[Number]:[Number]],0,0),_xlpm.X,_xlfn.XLOOKUP(R65,Exp_Shift[[Rating]:[Rating]],Exp_Shift[[Number]:[Number]],0,0), IF(_xlpm.Fin-_xlpm.Init&gt;0, _xlfn.XLOOKUP(MIN(4,_xlpm.X+_xlpm.Fin-_xlpm.Init),Exp_Shift[[Number]:[Number]],Exp_Shift[[Rating]:[Rating]],0,0),IF(_xlpm.Fin-_xlpm.Init&lt;0,_xlfn.XLOOKUP(MAX(0,_xlpm.X-1),Exp_Shift[[Number]:[Number]],Exp_Shift[[Rating]:[Rating]],0,0),R65)))</f>
        <v>M</v>
      </c>
      <c r="S88" t="str" cm="1">
        <f t="array" ref="S88">_xlfn.LET(_xlpm.Fin,_xlfn.XLOOKUP(L88,Exp_Shift[[Rating]:[Rating]],Exp_Shift[[Number]:[Number]],0,0),_xlpm.Init,_xlfn.XLOOKUP(L65,Exp_Shift[[Rating]:[Rating]],Exp_Shift[[Number]:[Number]],0,0),_xlpm.X,_xlfn.XLOOKUP(S65,Exp_Shift[[Rating]:[Rating]],Exp_Shift[[Number]:[Number]],0,0), IF(_xlpm.Fin-_xlpm.Init&gt;0, _xlfn.XLOOKUP(MIN(4,_xlpm.X+_xlpm.Fin-_xlpm.Init),Exp_Shift[[Number]:[Number]],Exp_Shift[[Rating]:[Rating]],0,0),IF(_xlpm.Fin-_xlpm.Init&lt;0,_xlfn.XLOOKUP(MAX(0,_xlpm.X-1),Exp_Shift[[Number]:[Number]],Exp_Shift[[Rating]:[Rating]],0,0),S65)))</f>
        <v>H</v>
      </c>
      <c r="T88" t="str" cm="1">
        <f t="array" ref="T88">_xlfn.LET(_xlpm.Fin,_xlfn.XLOOKUP(M88,Exp_Shift[[Rating]:[Rating]],Exp_Shift[[Number]:[Number]],0,0),_xlpm.Init,_xlfn.XLOOKUP(M65,Exp_Shift[[Rating]:[Rating]],Exp_Shift[[Number]:[Number]],0,0),_xlpm.X,_xlfn.XLOOKUP(T65,Exp_Shift[[Rating]:[Rating]],Exp_Shift[[Number]:[Number]],0,0), IF(_xlpm.Fin-_xlpm.Init&gt;0, _xlfn.XLOOKUP(MIN(4,_xlpm.X+_xlpm.Fin-_xlpm.Init),Exp_Shift[[Number]:[Number]],Exp_Shift[[Rating]:[Rating]],0,0),IF(_xlpm.Fin-_xlpm.Init&lt;0,_xlfn.XLOOKUP(MAX(0,_xlpm.X-1),Exp_Shift[[Number]:[Number]],Exp_Shift[[Rating]:[Rating]],0,0),T65)))</f>
        <v>E</v>
      </c>
      <c r="U88" t="str" cm="1">
        <f t="array" ref="U88">_xlfn.LET(_xlpm.Fin,_xlfn.XLOOKUP(N88,Exp_Shift[[Rating]:[Rating]],Exp_Shift[[Number]:[Number]],0,0),_xlpm.Init,_xlfn.XLOOKUP(N65,Exp_Shift[[Rating]:[Rating]],Exp_Shift[[Number]:[Number]],0,0),_xlpm.X,_xlfn.XLOOKUP(U65,Exp_Shift[[Rating]:[Rating]],Exp_Shift[[Number]:[Number]],0,0), IF(_xlpm.Fin-_xlpm.Init&gt;0, _xlfn.XLOOKUP(MIN(4,_xlpm.X+_xlpm.Fin-_xlpm.Init),Exp_Shift[[Number]:[Number]],Exp_Shift[[Rating]:[Rating]],0,0),IF(_xlpm.Fin-_xlpm.Init&lt;0,_xlfn.XLOOKUP(MAX(0,_xlpm.X-1),Exp_Shift[[Number]:[Number]],Exp_Shift[[Rating]:[Rating]],0,0),U65)))</f>
        <v>H</v>
      </c>
      <c r="V88" t="str" cm="1">
        <f t="array" ref="V88">_xlfn.LET(_xlpm.Fin,_xlfn.XLOOKUP(O88,Exp_Shift[[Rating]:[Rating]],Exp_Shift[[Number]:[Number]],0,0),_xlpm.Init,_xlfn.XLOOKUP(O65,Exp_Shift[[Rating]:[Rating]],Exp_Shift[[Number]:[Number]],0,0),_xlpm.X,_xlfn.XLOOKUP(V65,Exp_Shift[[Rating]:[Rating]],Exp_Shift[[Number]:[Number]],0,0), IF(_xlpm.Fin-_xlpm.Init&gt;0, _xlfn.XLOOKUP(MIN(4,_xlpm.X+_xlpm.Fin-_xlpm.Init),Exp_Shift[[Number]:[Number]],Exp_Shift[[Rating]:[Rating]],0,0),IF(_xlpm.Fin-_xlpm.Init&lt;0,_xlfn.XLOOKUP(MAX(0,_xlpm.X-1),Exp_Shift[[Number]:[Number]],Exp_Shift[[Rating]:[Rating]],0,0),V65)))</f>
        <v>L</v>
      </c>
      <c r="W88" t="str" cm="1">
        <f t="array" ref="W88">_xlfn.LET(_xlpm.Fin,_xlfn.XLOOKUP(P88,Exp_Shift[[Rating]:[Rating]],Exp_Shift[[Number]:[Number]],0,0),_xlpm.Init,_xlfn.XLOOKUP(P65,Exp_Shift[[Rating]:[Rating]],Exp_Shift[[Number]:[Number]],0,0),_xlpm.X,_xlfn.XLOOKUP(W65,Exp_Shift[[Rating]:[Rating]],Exp_Shift[[Number]:[Number]],0,0), IF(_xlpm.Fin-_xlpm.Init&gt;0, _xlfn.XLOOKUP(MIN(4,_xlpm.X+_xlpm.Fin-_xlpm.Init),Exp_Shift[[Number]:[Number]],Exp_Shift[[Rating]:[Rating]],0,0),IF(_xlpm.Fin-_xlpm.Init&lt;0,_xlfn.XLOOKUP(MAX(0,_xlpm.X-1),Exp_Shift[[Number]:[Number]],Exp_Shift[[Rating]:[Rating]],0,0),W65)))</f>
        <v>L</v>
      </c>
      <c r="X88" s="19" t="str" cm="1">
        <f t="array" ref="X88">_xlfn.LET(_xlpm.Fin,_xlfn.XLOOKUP(Q88,Exp_Shift[[Rating]:[Rating]],Exp_Shift[[Number]:[Number]],0,0),_xlpm.Init,_xlfn.XLOOKUP(Q65,Exp_Shift[[Rating]:[Rating]],Exp_Shift[[Number]:[Number]],0,0),_xlpm.X,_xlfn.XLOOKUP(X65,Exp_Shift[[Rating]:[Rating]],Exp_Shift[[Number]:[Number]],0,0), IF(_xlpm.Fin-_xlpm.Init&gt;0, _xlfn.XLOOKUP(MIN(4,_xlpm.X+_xlpm.Fin-_xlpm.Init),Exp_Shift[[Number]:[Number]],Exp_Shift[[Rating]:[Rating]],0,0),IF(_xlpm.Fin-_xlpm.Init&lt;0,_xlfn.XLOOKUP(MAX(0,_xlpm.X-1),Exp_Shift[[Number]:[Number]],Exp_Shift[[Rating]:[Rating]],0,0),X65)))</f>
        <v>E</v>
      </c>
      <c r="Y88" s="23" t="str" cm="1">
        <f t="array" ref="Y88">_xlfn.LET(_xlpm.Fin,_xlfn.XLOOKUP(K88,Exp_Shift[[Rating]:[Rating]],Exp_Shift[[Number]:[Number]],0,0),_xlpm.Init,_xlfn.XLOOKUP(K65,Exp_Shift[[Rating]:[Rating]],Exp_Shift[[Number]:[Number]],0,0),_xlpm.X,_xlfn.XLOOKUP(Y65,Exp_Shift[[Rating]:[Rating]],Exp_Shift[[Number]:[Number]],0,0), IF(_xlpm.Fin-_xlpm.Init&gt;0, _xlfn.XLOOKUP(MIN(4,_xlpm.X+1),Exp_Shift[[Number]:[Number]],Exp_Shift[[Rating]:[Rating]],0,0),IF(_xlpm.Fin-_xlpm.Init&lt;0,_xlfn.XLOOKUP(MAX(0,_xlpm.X),Exp_Shift[[Number]:[Number]],Exp_Shift[[Rating]:[Rating]],0,0),Y65)))</f>
        <v>E</v>
      </c>
      <c r="Z88" t="str" cm="1">
        <f t="array" ref="Z88">_xlfn.LET(_xlpm.Fin,_xlfn.XLOOKUP(L88,Exp_Shift[[Rating]:[Rating]],Exp_Shift[[Number]:[Number]],0,0),_xlpm.Init,_xlfn.XLOOKUP(L65,Exp_Shift[[Rating]:[Rating]],Exp_Shift[[Number]:[Number]],0,0),_xlpm.X,_xlfn.XLOOKUP(Z65,Exp_Shift[[Rating]:[Rating]],Exp_Shift[[Number]:[Number]],0,0), IF(_xlpm.Fin-_xlpm.Init&gt;0, _xlfn.XLOOKUP(MIN(4,_xlpm.X+1),Exp_Shift[[Number]:[Number]],Exp_Shift[[Rating]:[Rating]],0,0),IF(_xlpm.Fin-_xlpm.Init&lt;0,_xlfn.XLOOKUP(MAX(0,_xlpm.X),Exp_Shift[[Number]:[Number]],Exp_Shift[[Rating]:[Rating]],0,0),Z65)))</f>
        <v>E</v>
      </c>
      <c r="AA88" t="str" cm="1">
        <f t="array" ref="AA88">_xlfn.LET(_xlpm.Fin,_xlfn.XLOOKUP(M88,Exp_Shift[[Rating]:[Rating]],Exp_Shift[[Number]:[Number]],0,0),_xlpm.Init,_xlfn.XLOOKUP(M65,Exp_Shift[[Rating]:[Rating]],Exp_Shift[[Number]:[Number]],0,0),_xlpm.X,_xlfn.XLOOKUP(AA65,Exp_Shift[[Rating]:[Rating]],Exp_Shift[[Number]:[Number]],0,0), IF(_xlpm.Fin-_xlpm.Init&gt;0, _xlfn.XLOOKUP(MIN(4,_xlpm.X+1),Exp_Shift[[Number]:[Number]],Exp_Shift[[Rating]:[Rating]],0,0),IF(_xlpm.Fin-_xlpm.Init&lt;0,_xlfn.XLOOKUP(MAX(0,_xlpm.X),Exp_Shift[[Number]:[Number]],Exp_Shift[[Rating]:[Rating]],0,0),AA65)))</f>
        <v>E</v>
      </c>
      <c r="AB88" t="str" cm="1">
        <f t="array" ref="AB88">_xlfn.LET(_xlpm.Fin,_xlfn.XLOOKUP(N88,Exp_Shift[[Rating]:[Rating]],Exp_Shift[[Number]:[Number]],0,0),_xlpm.Init,_xlfn.XLOOKUP(N65,Exp_Shift[[Rating]:[Rating]],Exp_Shift[[Number]:[Number]],0,0),_xlpm.X,_xlfn.XLOOKUP(AB65,Exp_Shift[[Rating]:[Rating]],Exp_Shift[[Number]:[Number]],0,0), IF(_xlpm.Fin-_xlpm.Init&gt;0, _xlfn.XLOOKUP(MIN(4,_xlpm.X+1),Exp_Shift[[Number]:[Number]],Exp_Shift[[Rating]:[Rating]],0,0),IF(_xlpm.Fin-_xlpm.Init&lt;0,_xlfn.XLOOKUP(MAX(0,_xlpm.X),Exp_Shift[[Number]:[Number]],Exp_Shift[[Rating]:[Rating]],0,0),AB65)))</f>
        <v>H</v>
      </c>
      <c r="AC88" t="str" cm="1">
        <f t="array" ref="AC88">_xlfn.LET(_xlpm.Fin,_xlfn.XLOOKUP(O88,Exp_Shift[[Rating]:[Rating]],Exp_Shift[[Number]:[Number]],0,0),_xlpm.Init,_xlfn.XLOOKUP(O65,Exp_Shift[[Rating]:[Rating]],Exp_Shift[[Number]:[Number]],0,0),_xlpm.X,_xlfn.XLOOKUP(AC65,Exp_Shift[[Rating]:[Rating]],Exp_Shift[[Number]:[Number]],0,0), IF(_xlpm.Fin-_xlpm.Init&gt;0, _xlfn.XLOOKUP(MIN(4,_xlpm.X+1),Exp_Shift[[Number]:[Number]],Exp_Shift[[Rating]:[Rating]],0,0),IF(_xlpm.Fin-_xlpm.Init&lt;0,_xlfn.XLOOKUP(MAX(0,_xlpm.X),Exp_Shift[[Number]:[Number]],Exp_Shift[[Rating]:[Rating]],0,0),AC65)))</f>
        <v>L</v>
      </c>
      <c r="AD88" t="str" cm="1">
        <f t="array" ref="AD88">_xlfn.LET(_xlpm.Fin,_xlfn.XLOOKUP(P88,Exp_Shift[[Rating]:[Rating]],Exp_Shift[[Number]:[Number]],0,0),_xlpm.Init,_xlfn.XLOOKUP(P65,Exp_Shift[[Rating]:[Rating]],Exp_Shift[[Number]:[Number]],0,0),_xlpm.X,_xlfn.XLOOKUP(AD65,Exp_Shift[[Rating]:[Rating]],Exp_Shift[[Number]:[Number]],0,0), IF(_xlpm.Fin-_xlpm.Init&gt;0, _xlfn.XLOOKUP(MIN(4,_xlpm.X+1),Exp_Shift[[Number]:[Number]],Exp_Shift[[Rating]:[Rating]],0,0),IF(_xlpm.Fin-_xlpm.Init&lt;0,_xlfn.XLOOKUP(MAX(0,_xlpm.X),Exp_Shift[[Number]:[Number]],Exp_Shift[[Rating]:[Rating]],0,0),AD65)))</f>
        <v>L</v>
      </c>
      <c r="AE88" s="27" t="str" cm="1">
        <f t="array" ref="AE88">_xlfn.LET(_xlpm.Fin,_xlfn.XLOOKUP(Q88,Exp_Shift[[Rating]:[Rating]],Exp_Shift[[Number]:[Number]],0,0),_xlpm.Init,_xlfn.XLOOKUP(Q65,Exp_Shift[[Rating]:[Rating]],Exp_Shift[[Number]:[Number]],0,0),_xlpm.X,_xlfn.XLOOKUP(AE65,Exp_Shift[[Rating]:[Rating]],Exp_Shift[[Number]:[Number]],0,0), IF(_xlpm.Fin-_xlpm.Init&gt;0, _xlfn.XLOOKUP(MIN(4,_xlpm.X+1),Exp_Shift[[Number]:[Number]],Exp_Shift[[Rating]:[Rating]],0,0),IF(_xlpm.Fin-_xlpm.Init&lt;0,_xlfn.XLOOKUP(MAX(0,_xlpm.X),Exp_Shift[[Number]:[Number]],Exp_Shift[[Rating]:[Rating]],0,0),AE65)))</f>
        <v>E</v>
      </c>
    </row>
    <row r="89" spans="8:31" ht="18" x14ac:dyDescent="0.35">
      <c r="H89" s="26">
        <v>32</v>
      </c>
      <c r="I89" s="332" t="s">
        <v>120</v>
      </c>
      <c r="J89" s="328" t="s">
        <v>70</v>
      </c>
      <c r="K89" s="23" t="str" cm="1">
        <f t="array" ref="K89">_xlfn.SWITCH(K66,"N/A","L","L","M","M","H","H","E","E","N/A")</f>
        <v>M</v>
      </c>
      <c r="L89" t="str" cm="1">
        <f t="array" ref="L89">_xlfn.SWITCH(L66,"N/A","L","L","M","M","H","H","E","E","N/A")</f>
        <v>H</v>
      </c>
      <c r="M89" t="str" cm="1">
        <f t="array" ref="M89">_xlfn.SWITCH(M66,"N/A","L","L","M","M","H","H","E","E","N/A")</f>
        <v>E</v>
      </c>
      <c r="N89" t="str" cm="1">
        <f t="array" ref="N89">_xlfn.SWITCH(N66,"N/A","L","L","M","M","H","H","E","E","N/A")</f>
        <v>M</v>
      </c>
      <c r="O89" t="str" cm="1">
        <f t="array" ref="O89">_xlfn.SWITCH(O66,"N/A","L","L","M","M","H","H","E","E","N/A")</f>
        <v>L</v>
      </c>
      <c r="P89" t="str" cm="1">
        <f t="array" ref="P89">_xlfn.SWITCH(P66,"N/A","L","L","M","M","H","H","E","E","N/A")</f>
        <v>L</v>
      </c>
      <c r="Q89" s="19" t="str" cm="1">
        <f t="array" ref="Q89">_xlfn.SWITCH(Q66,"N/A","L","L","M","M","H","H","E","E","N/A")</f>
        <v>H</v>
      </c>
      <c r="R89" s="23" t="str" cm="1">
        <f t="array" ref="R89">_xlfn.LET(_xlpm.Fin,_xlfn.XLOOKUP(K89,Exp_Shift[[Rating]:[Rating]],Exp_Shift[[Number]:[Number]],0,0),_xlpm.Init,_xlfn.XLOOKUP(K66,Exp_Shift[[Rating]:[Rating]],Exp_Shift[[Number]:[Number]],0,0),_xlpm.X,_xlfn.XLOOKUP(R66,Exp_Shift[[Rating]:[Rating]],Exp_Shift[[Number]:[Number]],0,0), IF(_xlpm.Fin-_xlpm.Init&gt;0, _xlfn.XLOOKUP(MIN(4,_xlpm.X+_xlpm.Fin-_xlpm.Init),Exp_Shift[[Number]:[Number]],Exp_Shift[[Rating]:[Rating]],0,0),IF(_xlpm.Fin-_xlpm.Init&lt;0,_xlfn.XLOOKUP(MAX(0,_xlpm.X-1),Exp_Shift[[Number]:[Number]],Exp_Shift[[Rating]:[Rating]],0,0),R66)))</f>
        <v>H</v>
      </c>
      <c r="S89" t="str" cm="1">
        <f t="array" ref="S89">_xlfn.LET(_xlpm.Fin,_xlfn.XLOOKUP(L89,Exp_Shift[[Rating]:[Rating]],Exp_Shift[[Number]:[Number]],0,0),_xlpm.Init,_xlfn.XLOOKUP(L66,Exp_Shift[[Rating]:[Rating]],Exp_Shift[[Number]:[Number]],0,0),_xlpm.X,_xlfn.XLOOKUP(S66,Exp_Shift[[Rating]:[Rating]],Exp_Shift[[Number]:[Number]],0,0), IF(_xlpm.Fin-_xlpm.Init&gt;0, _xlfn.XLOOKUP(MIN(4,_xlpm.X+_xlpm.Fin-_xlpm.Init),Exp_Shift[[Number]:[Number]],Exp_Shift[[Rating]:[Rating]],0,0),IF(_xlpm.Fin-_xlpm.Init&lt;0,_xlfn.XLOOKUP(MAX(0,_xlpm.X-1),Exp_Shift[[Number]:[Number]],Exp_Shift[[Rating]:[Rating]],0,0),S66)))</f>
        <v>H</v>
      </c>
      <c r="T89" t="str" cm="1">
        <f t="array" ref="T89">_xlfn.LET(_xlpm.Fin,_xlfn.XLOOKUP(M89,Exp_Shift[[Rating]:[Rating]],Exp_Shift[[Number]:[Number]],0,0),_xlpm.Init,_xlfn.XLOOKUP(M66,Exp_Shift[[Rating]:[Rating]],Exp_Shift[[Number]:[Number]],0,0),_xlpm.X,_xlfn.XLOOKUP(T66,Exp_Shift[[Rating]:[Rating]],Exp_Shift[[Number]:[Number]],0,0), IF(_xlpm.Fin-_xlpm.Init&gt;0, _xlfn.XLOOKUP(MIN(4,_xlpm.X+_xlpm.Fin-_xlpm.Init),Exp_Shift[[Number]:[Number]],Exp_Shift[[Rating]:[Rating]],0,0),IF(_xlpm.Fin-_xlpm.Init&lt;0,_xlfn.XLOOKUP(MAX(0,_xlpm.X-1),Exp_Shift[[Number]:[Number]],Exp_Shift[[Rating]:[Rating]],0,0),T66)))</f>
        <v>E</v>
      </c>
      <c r="U89" t="str" cm="1">
        <f t="array" ref="U89">_xlfn.LET(_xlpm.Fin,_xlfn.XLOOKUP(N89,Exp_Shift[[Rating]:[Rating]],Exp_Shift[[Number]:[Number]],0,0),_xlpm.Init,_xlfn.XLOOKUP(N66,Exp_Shift[[Rating]:[Rating]],Exp_Shift[[Number]:[Number]],0,0),_xlpm.X,_xlfn.XLOOKUP(U66,Exp_Shift[[Rating]:[Rating]],Exp_Shift[[Number]:[Number]],0,0), IF(_xlpm.Fin-_xlpm.Init&gt;0, _xlfn.XLOOKUP(MIN(4,_xlpm.X+_xlpm.Fin-_xlpm.Init),Exp_Shift[[Number]:[Number]],Exp_Shift[[Rating]:[Rating]],0,0),IF(_xlpm.Fin-_xlpm.Init&lt;0,_xlfn.XLOOKUP(MAX(0,_xlpm.X-1),Exp_Shift[[Number]:[Number]],Exp_Shift[[Rating]:[Rating]],0,0),U66)))</f>
        <v>H</v>
      </c>
      <c r="V89" t="str" cm="1">
        <f t="array" ref="V89">_xlfn.LET(_xlpm.Fin,_xlfn.XLOOKUP(O89,Exp_Shift[[Rating]:[Rating]],Exp_Shift[[Number]:[Number]],0,0),_xlpm.Init,_xlfn.XLOOKUP(O66,Exp_Shift[[Rating]:[Rating]],Exp_Shift[[Number]:[Number]],0,0),_xlpm.X,_xlfn.XLOOKUP(V66,Exp_Shift[[Rating]:[Rating]],Exp_Shift[[Number]:[Number]],0,0), IF(_xlpm.Fin-_xlpm.Init&gt;0, _xlfn.XLOOKUP(MIN(4,_xlpm.X+_xlpm.Fin-_xlpm.Init),Exp_Shift[[Number]:[Number]],Exp_Shift[[Rating]:[Rating]],0,0),IF(_xlpm.Fin-_xlpm.Init&lt;0,_xlfn.XLOOKUP(MAX(0,_xlpm.X-1),Exp_Shift[[Number]:[Number]],Exp_Shift[[Rating]:[Rating]],0,0),V66)))</f>
        <v>L</v>
      </c>
      <c r="W89" t="str" cm="1">
        <f t="array" ref="W89">_xlfn.LET(_xlpm.Fin,_xlfn.XLOOKUP(P89,Exp_Shift[[Rating]:[Rating]],Exp_Shift[[Number]:[Number]],0,0),_xlpm.Init,_xlfn.XLOOKUP(P66,Exp_Shift[[Rating]:[Rating]],Exp_Shift[[Number]:[Number]],0,0),_xlpm.X,_xlfn.XLOOKUP(W66,Exp_Shift[[Rating]:[Rating]],Exp_Shift[[Number]:[Number]],0,0), IF(_xlpm.Fin-_xlpm.Init&gt;0, _xlfn.XLOOKUP(MIN(4,_xlpm.X+_xlpm.Fin-_xlpm.Init),Exp_Shift[[Number]:[Number]],Exp_Shift[[Rating]:[Rating]],0,0),IF(_xlpm.Fin-_xlpm.Init&lt;0,_xlfn.XLOOKUP(MAX(0,_xlpm.X-1),Exp_Shift[[Number]:[Number]],Exp_Shift[[Rating]:[Rating]],0,0),W66)))</f>
        <v>L</v>
      </c>
      <c r="X89" s="19" t="str" cm="1">
        <f t="array" ref="X89">_xlfn.LET(_xlpm.Fin,_xlfn.XLOOKUP(Q89,Exp_Shift[[Rating]:[Rating]],Exp_Shift[[Number]:[Number]],0,0),_xlpm.Init,_xlfn.XLOOKUP(Q66,Exp_Shift[[Rating]:[Rating]],Exp_Shift[[Number]:[Number]],0,0),_xlpm.X,_xlfn.XLOOKUP(X66,Exp_Shift[[Rating]:[Rating]],Exp_Shift[[Number]:[Number]],0,0), IF(_xlpm.Fin-_xlpm.Init&gt;0, _xlfn.XLOOKUP(MIN(4,_xlpm.X+_xlpm.Fin-_xlpm.Init),Exp_Shift[[Number]:[Number]],Exp_Shift[[Rating]:[Rating]],0,0),IF(_xlpm.Fin-_xlpm.Init&lt;0,_xlfn.XLOOKUP(MAX(0,_xlpm.X-1),Exp_Shift[[Number]:[Number]],Exp_Shift[[Rating]:[Rating]],0,0),X66)))</f>
        <v>E</v>
      </c>
      <c r="Y89" s="23" t="str" cm="1">
        <f t="array" ref="Y89">_xlfn.LET(_xlpm.Fin,_xlfn.XLOOKUP(K89,Exp_Shift[[Rating]:[Rating]],Exp_Shift[[Number]:[Number]],0,0),_xlpm.Init,_xlfn.XLOOKUP(K66,Exp_Shift[[Rating]:[Rating]],Exp_Shift[[Number]:[Number]],0,0),_xlpm.X,_xlfn.XLOOKUP(Y66,Exp_Shift[[Rating]:[Rating]],Exp_Shift[[Number]:[Number]],0,0), IF(_xlpm.Fin-_xlpm.Init&gt;0, _xlfn.XLOOKUP(MIN(4,_xlpm.X+1),Exp_Shift[[Number]:[Number]],Exp_Shift[[Rating]:[Rating]],0,0),IF(_xlpm.Fin-_xlpm.Init&lt;0,_xlfn.XLOOKUP(MAX(0,_xlpm.X),Exp_Shift[[Number]:[Number]],Exp_Shift[[Rating]:[Rating]],0,0),Y66)))</f>
        <v>E</v>
      </c>
      <c r="Z89" t="str" cm="1">
        <f t="array" ref="Z89">_xlfn.LET(_xlpm.Fin,_xlfn.XLOOKUP(L89,Exp_Shift[[Rating]:[Rating]],Exp_Shift[[Number]:[Number]],0,0),_xlpm.Init,_xlfn.XLOOKUP(L66,Exp_Shift[[Rating]:[Rating]],Exp_Shift[[Number]:[Number]],0,0),_xlpm.X,_xlfn.XLOOKUP(Z66,Exp_Shift[[Rating]:[Rating]],Exp_Shift[[Number]:[Number]],0,0), IF(_xlpm.Fin-_xlpm.Init&gt;0, _xlfn.XLOOKUP(MIN(4,_xlpm.X+1),Exp_Shift[[Number]:[Number]],Exp_Shift[[Rating]:[Rating]],0,0),IF(_xlpm.Fin-_xlpm.Init&lt;0,_xlfn.XLOOKUP(MAX(0,_xlpm.X),Exp_Shift[[Number]:[Number]],Exp_Shift[[Rating]:[Rating]],0,0),Z66)))</f>
        <v>E</v>
      </c>
      <c r="AA89" t="str" cm="1">
        <f t="array" ref="AA89">_xlfn.LET(_xlpm.Fin,_xlfn.XLOOKUP(M89,Exp_Shift[[Rating]:[Rating]],Exp_Shift[[Number]:[Number]],0,0),_xlpm.Init,_xlfn.XLOOKUP(M66,Exp_Shift[[Rating]:[Rating]],Exp_Shift[[Number]:[Number]],0,0),_xlpm.X,_xlfn.XLOOKUP(AA66,Exp_Shift[[Rating]:[Rating]],Exp_Shift[[Number]:[Number]],0,0), IF(_xlpm.Fin-_xlpm.Init&gt;0, _xlfn.XLOOKUP(MIN(4,_xlpm.X+1),Exp_Shift[[Number]:[Number]],Exp_Shift[[Rating]:[Rating]],0,0),IF(_xlpm.Fin-_xlpm.Init&lt;0,_xlfn.XLOOKUP(MAX(0,_xlpm.X),Exp_Shift[[Number]:[Number]],Exp_Shift[[Rating]:[Rating]],0,0),AA66)))</f>
        <v>E</v>
      </c>
      <c r="AB89" t="str" cm="1">
        <f t="array" ref="AB89">_xlfn.LET(_xlpm.Fin,_xlfn.XLOOKUP(N89,Exp_Shift[[Rating]:[Rating]],Exp_Shift[[Number]:[Number]],0,0),_xlpm.Init,_xlfn.XLOOKUP(N66,Exp_Shift[[Rating]:[Rating]],Exp_Shift[[Number]:[Number]],0,0),_xlpm.X,_xlfn.XLOOKUP(AB66,Exp_Shift[[Rating]:[Rating]],Exp_Shift[[Number]:[Number]],0,0), IF(_xlpm.Fin-_xlpm.Init&gt;0, _xlfn.XLOOKUP(MIN(4,_xlpm.X+1),Exp_Shift[[Number]:[Number]],Exp_Shift[[Rating]:[Rating]],0,0),IF(_xlpm.Fin-_xlpm.Init&lt;0,_xlfn.XLOOKUP(MAX(0,_xlpm.X),Exp_Shift[[Number]:[Number]],Exp_Shift[[Rating]:[Rating]],0,0),AB66)))</f>
        <v>E</v>
      </c>
      <c r="AC89" t="str" cm="1">
        <f t="array" ref="AC89">_xlfn.LET(_xlpm.Fin,_xlfn.XLOOKUP(O89,Exp_Shift[[Rating]:[Rating]],Exp_Shift[[Number]:[Number]],0,0),_xlpm.Init,_xlfn.XLOOKUP(O66,Exp_Shift[[Rating]:[Rating]],Exp_Shift[[Number]:[Number]],0,0),_xlpm.X,_xlfn.XLOOKUP(AC66,Exp_Shift[[Rating]:[Rating]],Exp_Shift[[Number]:[Number]],0,0), IF(_xlpm.Fin-_xlpm.Init&gt;0, _xlfn.XLOOKUP(MIN(4,_xlpm.X+1),Exp_Shift[[Number]:[Number]],Exp_Shift[[Rating]:[Rating]],0,0),IF(_xlpm.Fin-_xlpm.Init&lt;0,_xlfn.XLOOKUP(MAX(0,_xlpm.X),Exp_Shift[[Number]:[Number]],Exp_Shift[[Rating]:[Rating]],0,0),AC66)))</f>
        <v>L</v>
      </c>
      <c r="AD89" t="str" cm="1">
        <f t="array" ref="AD89">_xlfn.LET(_xlpm.Fin,_xlfn.XLOOKUP(P89,Exp_Shift[[Rating]:[Rating]],Exp_Shift[[Number]:[Number]],0,0),_xlpm.Init,_xlfn.XLOOKUP(P66,Exp_Shift[[Rating]:[Rating]],Exp_Shift[[Number]:[Number]],0,0),_xlpm.X,_xlfn.XLOOKUP(AD66,Exp_Shift[[Rating]:[Rating]],Exp_Shift[[Number]:[Number]],0,0), IF(_xlpm.Fin-_xlpm.Init&gt;0, _xlfn.XLOOKUP(MIN(4,_xlpm.X+1),Exp_Shift[[Number]:[Number]],Exp_Shift[[Rating]:[Rating]],0,0),IF(_xlpm.Fin-_xlpm.Init&lt;0,_xlfn.XLOOKUP(MAX(0,_xlpm.X),Exp_Shift[[Number]:[Number]],Exp_Shift[[Rating]:[Rating]],0,0),AD66)))</f>
        <v>L</v>
      </c>
      <c r="AE89" s="27" t="str" cm="1">
        <f t="array" ref="AE89">_xlfn.LET(_xlpm.Fin,_xlfn.XLOOKUP(Q89,Exp_Shift[[Rating]:[Rating]],Exp_Shift[[Number]:[Number]],0,0),_xlpm.Init,_xlfn.XLOOKUP(Q66,Exp_Shift[[Rating]:[Rating]],Exp_Shift[[Number]:[Number]],0,0),_xlpm.X,_xlfn.XLOOKUP(AE66,Exp_Shift[[Rating]:[Rating]],Exp_Shift[[Number]:[Number]],0,0), IF(_xlpm.Fin-_xlpm.Init&gt;0, _xlfn.XLOOKUP(MIN(4,_xlpm.X+1),Exp_Shift[[Number]:[Number]],Exp_Shift[[Rating]:[Rating]],0,0),IF(_xlpm.Fin-_xlpm.Init&lt;0,_xlfn.XLOOKUP(MAX(0,_xlpm.X),Exp_Shift[[Number]:[Number]],Exp_Shift[[Rating]:[Rating]],0,0),AE66)))</f>
        <v>E</v>
      </c>
    </row>
    <row r="90" spans="8:31" ht="18" x14ac:dyDescent="0.35">
      <c r="H90" s="26">
        <v>33</v>
      </c>
      <c r="I90" s="332" t="s">
        <v>120</v>
      </c>
      <c r="J90" s="328" t="s">
        <v>223</v>
      </c>
      <c r="K90" s="23" t="str" cm="1">
        <f t="array" ref="K90">_xlfn.SWITCH(K67,"N/A","L","L","M","M","H","H","E","E","N/A")</f>
        <v>M</v>
      </c>
      <c r="L90" t="str" cm="1">
        <f t="array" ref="L90">_xlfn.SWITCH(L67,"N/A","L","L","M","M","H","H","E","E","N/A")</f>
        <v>H</v>
      </c>
      <c r="M90" t="str" cm="1">
        <f t="array" ref="M90">_xlfn.SWITCH(M67,"N/A","L","L","M","M","H","H","E","E","N/A")</f>
        <v>E</v>
      </c>
      <c r="N90" t="str" cm="1">
        <f t="array" ref="N90">_xlfn.SWITCH(N67,"N/A","L","L","M","M","H","H","E","E","N/A")</f>
        <v>M</v>
      </c>
      <c r="O90" t="str" cm="1">
        <f t="array" ref="O90">_xlfn.SWITCH(O67,"N/A","L","L","M","M","H","H","E","E","N/A")</f>
        <v>L</v>
      </c>
      <c r="P90" t="str" cm="1">
        <f t="array" ref="P90">_xlfn.SWITCH(P67,"N/A","L","L","M","M","H","H","E","E","N/A")</f>
        <v>L</v>
      </c>
      <c r="Q90" s="19" t="str" cm="1">
        <f t="array" ref="Q90">_xlfn.SWITCH(Q67,"N/A","L","L","M","M","H","H","E","E","N/A")</f>
        <v>H</v>
      </c>
      <c r="R90" s="23" t="str" cm="1">
        <f t="array" ref="R90">_xlfn.LET(_xlpm.Fin,_xlfn.XLOOKUP(K90,Exp_Shift[[Rating]:[Rating]],Exp_Shift[[Number]:[Number]],0,0),_xlpm.Init,_xlfn.XLOOKUP(K67,Exp_Shift[[Rating]:[Rating]],Exp_Shift[[Number]:[Number]],0,0),_xlpm.X,_xlfn.XLOOKUP(R67,Exp_Shift[[Rating]:[Rating]],Exp_Shift[[Number]:[Number]],0,0), IF(_xlpm.Fin-_xlpm.Init&gt;0, _xlfn.XLOOKUP(MIN(4,_xlpm.X+_xlpm.Fin-_xlpm.Init),Exp_Shift[[Number]:[Number]],Exp_Shift[[Rating]:[Rating]],0,0),IF(_xlpm.Fin-_xlpm.Init&lt;0,_xlfn.XLOOKUP(MAX(0,_xlpm.X-1),Exp_Shift[[Number]:[Number]],Exp_Shift[[Rating]:[Rating]],0,0),R67)))</f>
        <v>E</v>
      </c>
      <c r="S90" t="str" cm="1">
        <f t="array" ref="S90">_xlfn.LET(_xlpm.Fin,_xlfn.XLOOKUP(L90,Exp_Shift[[Rating]:[Rating]],Exp_Shift[[Number]:[Number]],0,0),_xlpm.Init,_xlfn.XLOOKUP(L67,Exp_Shift[[Rating]:[Rating]],Exp_Shift[[Number]:[Number]],0,0),_xlpm.X,_xlfn.XLOOKUP(S67,Exp_Shift[[Rating]:[Rating]],Exp_Shift[[Number]:[Number]],0,0), IF(_xlpm.Fin-_xlpm.Init&gt;0, _xlfn.XLOOKUP(MIN(4,_xlpm.X+_xlpm.Fin-_xlpm.Init),Exp_Shift[[Number]:[Number]],Exp_Shift[[Rating]:[Rating]],0,0),IF(_xlpm.Fin-_xlpm.Init&lt;0,_xlfn.XLOOKUP(MAX(0,_xlpm.X-1),Exp_Shift[[Number]:[Number]],Exp_Shift[[Rating]:[Rating]],0,0),S67)))</f>
        <v>H</v>
      </c>
      <c r="T90" t="str" cm="1">
        <f t="array" ref="T90">_xlfn.LET(_xlpm.Fin,_xlfn.XLOOKUP(M90,Exp_Shift[[Rating]:[Rating]],Exp_Shift[[Number]:[Number]],0,0),_xlpm.Init,_xlfn.XLOOKUP(M67,Exp_Shift[[Rating]:[Rating]],Exp_Shift[[Number]:[Number]],0,0),_xlpm.X,_xlfn.XLOOKUP(T67,Exp_Shift[[Rating]:[Rating]],Exp_Shift[[Number]:[Number]],0,0), IF(_xlpm.Fin-_xlpm.Init&gt;0, _xlfn.XLOOKUP(MIN(4,_xlpm.X+_xlpm.Fin-_xlpm.Init),Exp_Shift[[Number]:[Number]],Exp_Shift[[Rating]:[Rating]],0,0),IF(_xlpm.Fin-_xlpm.Init&lt;0,_xlfn.XLOOKUP(MAX(0,_xlpm.X-1),Exp_Shift[[Number]:[Number]],Exp_Shift[[Rating]:[Rating]],0,0),T67)))</f>
        <v>E</v>
      </c>
      <c r="U90" t="str" cm="1">
        <f t="array" ref="U90">_xlfn.LET(_xlpm.Fin,_xlfn.XLOOKUP(N90,Exp_Shift[[Rating]:[Rating]],Exp_Shift[[Number]:[Number]],0,0),_xlpm.Init,_xlfn.XLOOKUP(N67,Exp_Shift[[Rating]:[Rating]],Exp_Shift[[Number]:[Number]],0,0),_xlpm.X,_xlfn.XLOOKUP(U67,Exp_Shift[[Rating]:[Rating]],Exp_Shift[[Number]:[Number]],0,0), IF(_xlpm.Fin-_xlpm.Init&gt;0, _xlfn.XLOOKUP(MIN(4,_xlpm.X+_xlpm.Fin-_xlpm.Init),Exp_Shift[[Number]:[Number]],Exp_Shift[[Rating]:[Rating]],0,0),IF(_xlpm.Fin-_xlpm.Init&lt;0,_xlfn.XLOOKUP(MAX(0,_xlpm.X-1),Exp_Shift[[Number]:[Number]],Exp_Shift[[Rating]:[Rating]],0,0),U67)))</f>
        <v>M</v>
      </c>
      <c r="V90" t="str" cm="1">
        <f t="array" ref="V90">_xlfn.LET(_xlpm.Fin,_xlfn.XLOOKUP(O90,Exp_Shift[[Rating]:[Rating]],Exp_Shift[[Number]:[Number]],0,0),_xlpm.Init,_xlfn.XLOOKUP(O67,Exp_Shift[[Rating]:[Rating]],Exp_Shift[[Number]:[Number]],0,0),_xlpm.X,_xlfn.XLOOKUP(V67,Exp_Shift[[Rating]:[Rating]],Exp_Shift[[Number]:[Number]],0,0), IF(_xlpm.Fin-_xlpm.Init&gt;0, _xlfn.XLOOKUP(MIN(4,_xlpm.X+_xlpm.Fin-_xlpm.Init),Exp_Shift[[Number]:[Number]],Exp_Shift[[Rating]:[Rating]],0,0),IF(_xlpm.Fin-_xlpm.Init&lt;0,_xlfn.XLOOKUP(MAX(0,_xlpm.X-1),Exp_Shift[[Number]:[Number]],Exp_Shift[[Rating]:[Rating]],0,0),V67)))</f>
        <v>L</v>
      </c>
      <c r="W90" t="str" cm="1">
        <f t="array" ref="W90">_xlfn.LET(_xlpm.Fin,_xlfn.XLOOKUP(P90,Exp_Shift[[Rating]:[Rating]],Exp_Shift[[Number]:[Number]],0,0),_xlpm.Init,_xlfn.XLOOKUP(P67,Exp_Shift[[Rating]:[Rating]],Exp_Shift[[Number]:[Number]],0,0),_xlpm.X,_xlfn.XLOOKUP(W67,Exp_Shift[[Rating]:[Rating]],Exp_Shift[[Number]:[Number]],0,0), IF(_xlpm.Fin-_xlpm.Init&gt;0, _xlfn.XLOOKUP(MIN(4,_xlpm.X+_xlpm.Fin-_xlpm.Init),Exp_Shift[[Number]:[Number]],Exp_Shift[[Rating]:[Rating]],0,0),IF(_xlpm.Fin-_xlpm.Init&lt;0,_xlfn.XLOOKUP(MAX(0,_xlpm.X-1),Exp_Shift[[Number]:[Number]],Exp_Shift[[Rating]:[Rating]],0,0),W67)))</f>
        <v>L</v>
      </c>
      <c r="X90" s="19" t="str" cm="1">
        <f t="array" ref="X90">_xlfn.LET(_xlpm.Fin,_xlfn.XLOOKUP(Q90,Exp_Shift[[Rating]:[Rating]],Exp_Shift[[Number]:[Number]],0,0),_xlpm.Init,_xlfn.XLOOKUP(Q67,Exp_Shift[[Rating]:[Rating]],Exp_Shift[[Number]:[Number]],0,0),_xlpm.X,_xlfn.XLOOKUP(X67,Exp_Shift[[Rating]:[Rating]],Exp_Shift[[Number]:[Number]],0,0), IF(_xlpm.Fin-_xlpm.Init&gt;0, _xlfn.XLOOKUP(MIN(4,_xlpm.X+_xlpm.Fin-_xlpm.Init),Exp_Shift[[Number]:[Number]],Exp_Shift[[Rating]:[Rating]],0,0),IF(_xlpm.Fin-_xlpm.Init&lt;0,_xlfn.XLOOKUP(MAX(0,_xlpm.X-1),Exp_Shift[[Number]:[Number]],Exp_Shift[[Rating]:[Rating]],0,0),X67)))</f>
        <v>E</v>
      </c>
      <c r="Y90" s="23" t="str" cm="1">
        <f t="array" ref="Y90">_xlfn.LET(_xlpm.Fin,_xlfn.XLOOKUP(K90,Exp_Shift[[Rating]:[Rating]],Exp_Shift[[Number]:[Number]],0,0),_xlpm.Init,_xlfn.XLOOKUP(K67,Exp_Shift[[Rating]:[Rating]],Exp_Shift[[Number]:[Number]],0,0),_xlpm.X,_xlfn.XLOOKUP(Y67,Exp_Shift[[Rating]:[Rating]],Exp_Shift[[Number]:[Number]],0,0), IF(_xlpm.Fin-_xlpm.Init&gt;0, _xlfn.XLOOKUP(MIN(4,_xlpm.X+1),Exp_Shift[[Number]:[Number]],Exp_Shift[[Rating]:[Rating]],0,0),IF(_xlpm.Fin-_xlpm.Init&lt;0,_xlfn.XLOOKUP(MAX(0,_xlpm.X),Exp_Shift[[Number]:[Number]],Exp_Shift[[Rating]:[Rating]],0,0),Y67)))</f>
        <v>E</v>
      </c>
      <c r="Z90" t="str" cm="1">
        <f t="array" ref="Z90">_xlfn.LET(_xlpm.Fin,_xlfn.XLOOKUP(L90,Exp_Shift[[Rating]:[Rating]],Exp_Shift[[Number]:[Number]],0,0),_xlpm.Init,_xlfn.XLOOKUP(L67,Exp_Shift[[Rating]:[Rating]],Exp_Shift[[Number]:[Number]],0,0),_xlpm.X,_xlfn.XLOOKUP(Z67,Exp_Shift[[Rating]:[Rating]],Exp_Shift[[Number]:[Number]],0,0), IF(_xlpm.Fin-_xlpm.Init&gt;0, _xlfn.XLOOKUP(MIN(4,_xlpm.X+1),Exp_Shift[[Number]:[Number]],Exp_Shift[[Rating]:[Rating]],0,0),IF(_xlpm.Fin-_xlpm.Init&lt;0,_xlfn.XLOOKUP(MAX(0,_xlpm.X),Exp_Shift[[Number]:[Number]],Exp_Shift[[Rating]:[Rating]],0,0),Z67)))</f>
        <v>E</v>
      </c>
      <c r="AA90" t="str" cm="1">
        <f t="array" ref="AA90">_xlfn.LET(_xlpm.Fin,_xlfn.XLOOKUP(M90,Exp_Shift[[Rating]:[Rating]],Exp_Shift[[Number]:[Number]],0,0),_xlpm.Init,_xlfn.XLOOKUP(M67,Exp_Shift[[Rating]:[Rating]],Exp_Shift[[Number]:[Number]],0,0),_xlpm.X,_xlfn.XLOOKUP(AA67,Exp_Shift[[Rating]:[Rating]],Exp_Shift[[Number]:[Number]],0,0), IF(_xlpm.Fin-_xlpm.Init&gt;0, _xlfn.XLOOKUP(MIN(4,_xlpm.X+1),Exp_Shift[[Number]:[Number]],Exp_Shift[[Rating]:[Rating]],0,0),IF(_xlpm.Fin-_xlpm.Init&lt;0,_xlfn.XLOOKUP(MAX(0,_xlpm.X),Exp_Shift[[Number]:[Number]],Exp_Shift[[Rating]:[Rating]],0,0),AA67)))</f>
        <v>E</v>
      </c>
      <c r="AB90" t="str" cm="1">
        <f t="array" ref="AB90">_xlfn.LET(_xlpm.Fin,_xlfn.XLOOKUP(N90,Exp_Shift[[Rating]:[Rating]],Exp_Shift[[Number]:[Number]],0,0),_xlpm.Init,_xlfn.XLOOKUP(N67,Exp_Shift[[Rating]:[Rating]],Exp_Shift[[Number]:[Number]],0,0),_xlpm.X,_xlfn.XLOOKUP(AB67,Exp_Shift[[Rating]:[Rating]],Exp_Shift[[Number]:[Number]],0,0), IF(_xlpm.Fin-_xlpm.Init&gt;0, _xlfn.XLOOKUP(MIN(4,_xlpm.X+1),Exp_Shift[[Number]:[Number]],Exp_Shift[[Rating]:[Rating]],0,0),IF(_xlpm.Fin-_xlpm.Init&lt;0,_xlfn.XLOOKUP(MAX(0,_xlpm.X),Exp_Shift[[Number]:[Number]],Exp_Shift[[Rating]:[Rating]],0,0),AB67)))</f>
        <v>H</v>
      </c>
      <c r="AC90" t="str" cm="1">
        <f t="array" ref="AC90">_xlfn.LET(_xlpm.Fin,_xlfn.XLOOKUP(O90,Exp_Shift[[Rating]:[Rating]],Exp_Shift[[Number]:[Number]],0,0),_xlpm.Init,_xlfn.XLOOKUP(O67,Exp_Shift[[Rating]:[Rating]],Exp_Shift[[Number]:[Number]],0,0),_xlpm.X,_xlfn.XLOOKUP(AC67,Exp_Shift[[Rating]:[Rating]],Exp_Shift[[Number]:[Number]],0,0), IF(_xlpm.Fin-_xlpm.Init&gt;0, _xlfn.XLOOKUP(MIN(4,_xlpm.X+1),Exp_Shift[[Number]:[Number]],Exp_Shift[[Rating]:[Rating]],0,0),IF(_xlpm.Fin-_xlpm.Init&lt;0,_xlfn.XLOOKUP(MAX(0,_xlpm.X),Exp_Shift[[Number]:[Number]],Exp_Shift[[Rating]:[Rating]],0,0),AC67)))</f>
        <v>L</v>
      </c>
      <c r="AD90" t="str" cm="1">
        <f t="array" ref="AD90">_xlfn.LET(_xlpm.Fin,_xlfn.XLOOKUP(P90,Exp_Shift[[Rating]:[Rating]],Exp_Shift[[Number]:[Number]],0,0),_xlpm.Init,_xlfn.XLOOKUP(P67,Exp_Shift[[Rating]:[Rating]],Exp_Shift[[Number]:[Number]],0,0),_xlpm.X,_xlfn.XLOOKUP(AD67,Exp_Shift[[Rating]:[Rating]],Exp_Shift[[Number]:[Number]],0,0), IF(_xlpm.Fin-_xlpm.Init&gt;0, _xlfn.XLOOKUP(MIN(4,_xlpm.X+1),Exp_Shift[[Number]:[Number]],Exp_Shift[[Rating]:[Rating]],0,0),IF(_xlpm.Fin-_xlpm.Init&lt;0,_xlfn.XLOOKUP(MAX(0,_xlpm.X),Exp_Shift[[Number]:[Number]],Exp_Shift[[Rating]:[Rating]],0,0),AD67)))</f>
        <v>L</v>
      </c>
      <c r="AE90" s="27" t="str" cm="1">
        <f t="array" ref="AE90">_xlfn.LET(_xlpm.Fin,_xlfn.XLOOKUP(Q90,Exp_Shift[[Rating]:[Rating]],Exp_Shift[[Number]:[Number]],0,0),_xlpm.Init,_xlfn.XLOOKUP(Q67,Exp_Shift[[Rating]:[Rating]],Exp_Shift[[Number]:[Number]],0,0),_xlpm.X,_xlfn.XLOOKUP(AE67,Exp_Shift[[Rating]:[Rating]],Exp_Shift[[Number]:[Number]],0,0), IF(_xlpm.Fin-_xlpm.Init&gt;0, _xlfn.XLOOKUP(MIN(4,_xlpm.X+1),Exp_Shift[[Number]:[Number]],Exp_Shift[[Rating]:[Rating]],0,0),IF(_xlpm.Fin-_xlpm.Init&lt;0,_xlfn.XLOOKUP(MAX(0,_xlpm.X),Exp_Shift[[Number]:[Number]],Exp_Shift[[Rating]:[Rating]],0,0),AE67)))</f>
        <v>E</v>
      </c>
    </row>
    <row r="91" spans="8:31" ht="18" x14ac:dyDescent="0.35">
      <c r="H91" s="26">
        <v>34</v>
      </c>
      <c r="I91" s="332" t="s">
        <v>120</v>
      </c>
      <c r="J91" s="328" t="s">
        <v>122</v>
      </c>
      <c r="K91" s="23" t="str" cm="1">
        <f t="array" ref="K91">_xlfn.SWITCH(K68,"N/A","L","L","M","M","H","H","E","E","N/A")</f>
        <v>M</v>
      </c>
      <c r="L91" t="str" cm="1">
        <f t="array" ref="L91">_xlfn.SWITCH(L68,"N/A","L","L","M","M","H","H","E","E","N/A")</f>
        <v>M</v>
      </c>
      <c r="M91" t="str" cm="1">
        <f t="array" ref="M91">_xlfn.SWITCH(M68,"N/A","L","L","M","M","H","H","E","E","N/A")</f>
        <v>H</v>
      </c>
      <c r="N91" t="str" cm="1">
        <f t="array" ref="N91">_xlfn.SWITCH(N68,"N/A","L","L","M","M","H","H","E","E","N/A")</f>
        <v>H</v>
      </c>
      <c r="O91" t="str" cm="1">
        <f t="array" ref="O91">_xlfn.SWITCH(O68,"N/A","L","L","M","M","H","H","E","E","N/A")</f>
        <v>L</v>
      </c>
      <c r="P91" t="str" cm="1">
        <f t="array" ref="P91">_xlfn.SWITCH(P68,"N/A","L","L","M","M","H","H","E","E","N/A")</f>
        <v>L</v>
      </c>
      <c r="Q91" s="19" t="str" cm="1">
        <f t="array" ref="Q91">_xlfn.SWITCH(Q68,"N/A","L","L","M","M","H","H","E","E","N/A")</f>
        <v>H</v>
      </c>
      <c r="R91" s="23" t="str" cm="1">
        <f t="array" ref="R91">_xlfn.LET(_xlpm.Fin,_xlfn.XLOOKUP(K91,Exp_Shift[[Rating]:[Rating]],Exp_Shift[[Number]:[Number]],0,0),_xlpm.Init,_xlfn.XLOOKUP(K68,Exp_Shift[[Rating]:[Rating]],Exp_Shift[[Number]:[Number]],0,0),_xlpm.X,_xlfn.XLOOKUP(R68,Exp_Shift[[Rating]:[Rating]],Exp_Shift[[Number]:[Number]],0,0), IF(_xlpm.Fin-_xlpm.Init&gt;0, _xlfn.XLOOKUP(MIN(4,_xlpm.X+_xlpm.Fin-_xlpm.Init),Exp_Shift[[Number]:[Number]],Exp_Shift[[Rating]:[Rating]],0,0),IF(_xlpm.Fin-_xlpm.Init&lt;0,_xlfn.XLOOKUP(MAX(0,_xlpm.X-1),Exp_Shift[[Number]:[Number]],Exp_Shift[[Rating]:[Rating]],0,0),R68)))</f>
        <v>H</v>
      </c>
      <c r="S91" t="str" cm="1">
        <f t="array" ref="S91">_xlfn.LET(_xlpm.Fin,_xlfn.XLOOKUP(L91,Exp_Shift[[Rating]:[Rating]],Exp_Shift[[Number]:[Number]],0,0),_xlpm.Init,_xlfn.XLOOKUP(L68,Exp_Shift[[Rating]:[Rating]],Exp_Shift[[Number]:[Number]],0,0),_xlpm.X,_xlfn.XLOOKUP(S68,Exp_Shift[[Rating]:[Rating]],Exp_Shift[[Number]:[Number]],0,0), IF(_xlpm.Fin-_xlpm.Init&gt;0, _xlfn.XLOOKUP(MIN(4,_xlpm.X+_xlpm.Fin-_xlpm.Init),Exp_Shift[[Number]:[Number]],Exp_Shift[[Rating]:[Rating]],0,0),IF(_xlpm.Fin-_xlpm.Init&lt;0,_xlfn.XLOOKUP(MAX(0,_xlpm.X-1),Exp_Shift[[Number]:[Number]],Exp_Shift[[Rating]:[Rating]],0,0),S68)))</f>
        <v>H</v>
      </c>
      <c r="T91" t="str" cm="1">
        <f t="array" ref="T91">_xlfn.LET(_xlpm.Fin,_xlfn.XLOOKUP(M91,Exp_Shift[[Rating]:[Rating]],Exp_Shift[[Number]:[Number]],0,0),_xlpm.Init,_xlfn.XLOOKUP(M68,Exp_Shift[[Rating]:[Rating]],Exp_Shift[[Number]:[Number]],0,0),_xlpm.X,_xlfn.XLOOKUP(T68,Exp_Shift[[Rating]:[Rating]],Exp_Shift[[Number]:[Number]],0,0), IF(_xlpm.Fin-_xlpm.Init&gt;0, _xlfn.XLOOKUP(MIN(4,_xlpm.X+_xlpm.Fin-_xlpm.Init),Exp_Shift[[Number]:[Number]],Exp_Shift[[Rating]:[Rating]],0,0),IF(_xlpm.Fin-_xlpm.Init&lt;0,_xlfn.XLOOKUP(MAX(0,_xlpm.X-1),Exp_Shift[[Number]:[Number]],Exp_Shift[[Rating]:[Rating]],0,0),T68)))</f>
        <v>E</v>
      </c>
      <c r="U91" t="str" cm="1">
        <f t="array" ref="U91">_xlfn.LET(_xlpm.Fin,_xlfn.XLOOKUP(N91,Exp_Shift[[Rating]:[Rating]],Exp_Shift[[Number]:[Number]],0,0),_xlpm.Init,_xlfn.XLOOKUP(N68,Exp_Shift[[Rating]:[Rating]],Exp_Shift[[Number]:[Number]],0,0),_xlpm.X,_xlfn.XLOOKUP(U68,Exp_Shift[[Rating]:[Rating]],Exp_Shift[[Number]:[Number]],0,0), IF(_xlpm.Fin-_xlpm.Init&gt;0, _xlfn.XLOOKUP(MIN(4,_xlpm.X+_xlpm.Fin-_xlpm.Init),Exp_Shift[[Number]:[Number]],Exp_Shift[[Rating]:[Rating]],0,0),IF(_xlpm.Fin-_xlpm.Init&lt;0,_xlfn.XLOOKUP(MAX(0,_xlpm.X-1),Exp_Shift[[Number]:[Number]],Exp_Shift[[Rating]:[Rating]],0,0),U68)))</f>
        <v>E</v>
      </c>
      <c r="V91" t="str" cm="1">
        <f t="array" ref="V91">_xlfn.LET(_xlpm.Fin,_xlfn.XLOOKUP(O91,Exp_Shift[[Rating]:[Rating]],Exp_Shift[[Number]:[Number]],0,0),_xlpm.Init,_xlfn.XLOOKUP(O68,Exp_Shift[[Rating]:[Rating]],Exp_Shift[[Number]:[Number]],0,0),_xlpm.X,_xlfn.XLOOKUP(V68,Exp_Shift[[Rating]:[Rating]],Exp_Shift[[Number]:[Number]],0,0), IF(_xlpm.Fin-_xlpm.Init&gt;0, _xlfn.XLOOKUP(MIN(4,_xlpm.X+_xlpm.Fin-_xlpm.Init),Exp_Shift[[Number]:[Number]],Exp_Shift[[Rating]:[Rating]],0,0),IF(_xlpm.Fin-_xlpm.Init&lt;0,_xlfn.XLOOKUP(MAX(0,_xlpm.X-1),Exp_Shift[[Number]:[Number]],Exp_Shift[[Rating]:[Rating]],0,0),V68)))</f>
        <v>L</v>
      </c>
      <c r="W91" t="str" cm="1">
        <f t="array" ref="W91">_xlfn.LET(_xlpm.Fin,_xlfn.XLOOKUP(P91,Exp_Shift[[Rating]:[Rating]],Exp_Shift[[Number]:[Number]],0,0),_xlpm.Init,_xlfn.XLOOKUP(P68,Exp_Shift[[Rating]:[Rating]],Exp_Shift[[Number]:[Number]],0,0),_xlpm.X,_xlfn.XLOOKUP(W68,Exp_Shift[[Rating]:[Rating]],Exp_Shift[[Number]:[Number]],0,0), IF(_xlpm.Fin-_xlpm.Init&gt;0, _xlfn.XLOOKUP(MIN(4,_xlpm.X+_xlpm.Fin-_xlpm.Init),Exp_Shift[[Number]:[Number]],Exp_Shift[[Rating]:[Rating]],0,0),IF(_xlpm.Fin-_xlpm.Init&lt;0,_xlfn.XLOOKUP(MAX(0,_xlpm.X-1),Exp_Shift[[Number]:[Number]],Exp_Shift[[Rating]:[Rating]],0,0),W68)))</f>
        <v>L</v>
      </c>
      <c r="X91" s="19" t="str" cm="1">
        <f t="array" ref="X91">_xlfn.LET(_xlpm.Fin,_xlfn.XLOOKUP(Q91,Exp_Shift[[Rating]:[Rating]],Exp_Shift[[Number]:[Number]],0,0),_xlpm.Init,_xlfn.XLOOKUP(Q68,Exp_Shift[[Rating]:[Rating]],Exp_Shift[[Number]:[Number]],0,0),_xlpm.X,_xlfn.XLOOKUP(X68,Exp_Shift[[Rating]:[Rating]],Exp_Shift[[Number]:[Number]],0,0), IF(_xlpm.Fin-_xlpm.Init&gt;0, _xlfn.XLOOKUP(MIN(4,_xlpm.X+_xlpm.Fin-_xlpm.Init),Exp_Shift[[Number]:[Number]],Exp_Shift[[Rating]:[Rating]],0,0),IF(_xlpm.Fin-_xlpm.Init&lt;0,_xlfn.XLOOKUP(MAX(0,_xlpm.X-1),Exp_Shift[[Number]:[Number]],Exp_Shift[[Rating]:[Rating]],0,0),X68)))</f>
        <v>E</v>
      </c>
      <c r="Y91" s="23" t="str" cm="1">
        <f t="array" ref="Y91">_xlfn.LET(_xlpm.Fin,_xlfn.XLOOKUP(K91,Exp_Shift[[Rating]:[Rating]],Exp_Shift[[Number]:[Number]],0,0),_xlpm.Init,_xlfn.XLOOKUP(K68,Exp_Shift[[Rating]:[Rating]],Exp_Shift[[Number]:[Number]],0,0),_xlpm.X,_xlfn.XLOOKUP(Y68,Exp_Shift[[Rating]:[Rating]],Exp_Shift[[Number]:[Number]],0,0), IF(_xlpm.Fin-_xlpm.Init&gt;0, _xlfn.XLOOKUP(MIN(4,_xlpm.X+1),Exp_Shift[[Number]:[Number]],Exp_Shift[[Rating]:[Rating]],0,0),IF(_xlpm.Fin-_xlpm.Init&lt;0,_xlfn.XLOOKUP(MAX(0,_xlpm.X),Exp_Shift[[Number]:[Number]],Exp_Shift[[Rating]:[Rating]],0,0),Y68)))</f>
        <v>E</v>
      </c>
      <c r="Z91" t="str" cm="1">
        <f t="array" ref="Z91">_xlfn.LET(_xlpm.Fin,_xlfn.XLOOKUP(L91,Exp_Shift[[Rating]:[Rating]],Exp_Shift[[Number]:[Number]],0,0),_xlpm.Init,_xlfn.XLOOKUP(L68,Exp_Shift[[Rating]:[Rating]],Exp_Shift[[Number]:[Number]],0,0),_xlpm.X,_xlfn.XLOOKUP(Z68,Exp_Shift[[Rating]:[Rating]],Exp_Shift[[Number]:[Number]],0,0), IF(_xlpm.Fin-_xlpm.Init&gt;0, _xlfn.XLOOKUP(MIN(4,_xlpm.X+1),Exp_Shift[[Number]:[Number]],Exp_Shift[[Rating]:[Rating]],0,0),IF(_xlpm.Fin-_xlpm.Init&lt;0,_xlfn.XLOOKUP(MAX(0,_xlpm.X),Exp_Shift[[Number]:[Number]],Exp_Shift[[Rating]:[Rating]],0,0),Z68)))</f>
        <v>E</v>
      </c>
      <c r="AA91" t="str" cm="1">
        <f t="array" ref="AA91">_xlfn.LET(_xlpm.Fin,_xlfn.XLOOKUP(M91,Exp_Shift[[Rating]:[Rating]],Exp_Shift[[Number]:[Number]],0,0),_xlpm.Init,_xlfn.XLOOKUP(M68,Exp_Shift[[Rating]:[Rating]],Exp_Shift[[Number]:[Number]],0,0),_xlpm.X,_xlfn.XLOOKUP(AA68,Exp_Shift[[Rating]:[Rating]],Exp_Shift[[Number]:[Number]],0,0), IF(_xlpm.Fin-_xlpm.Init&gt;0, _xlfn.XLOOKUP(MIN(4,_xlpm.X+1),Exp_Shift[[Number]:[Number]],Exp_Shift[[Rating]:[Rating]],0,0),IF(_xlpm.Fin-_xlpm.Init&lt;0,_xlfn.XLOOKUP(MAX(0,_xlpm.X),Exp_Shift[[Number]:[Number]],Exp_Shift[[Rating]:[Rating]],0,0),AA68)))</f>
        <v>E</v>
      </c>
      <c r="AB91" t="str" cm="1">
        <f t="array" ref="AB91">_xlfn.LET(_xlpm.Fin,_xlfn.XLOOKUP(N91,Exp_Shift[[Rating]:[Rating]],Exp_Shift[[Number]:[Number]],0,0),_xlpm.Init,_xlfn.XLOOKUP(N68,Exp_Shift[[Rating]:[Rating]],Exp_Shift[[Number]:[Number]],0,0),_xlpm.X,_xlfn.XLOOKUP(AB68,Exp_Shift[[Rating]:[Rating]],Exp_Shift[[Number]:[Number]],0,0), IF(_xlpm.Fin-_xlpm.Init&gt;0, _xlfn.XLOOKUP(MIN(4,_xlpm.X+1),Exp_Shift[[Number]:[Number]],Exp_Shift[[Rating]:[Rating]],0,0),IF(_xlpm.Fin-_xlpm.Init&lt;0,_xlfn.XLOOKUP(MAX(0,_xlpm.X),Exp_Shift[[Number]:[Number]],Exp_Shift[[Rating]:[Rating]],0,0),AB68)))</f>
        <v>E</v>
      </c>
      <c r="AC91" t="str" cm="1">
        <f t="array" ref="AC91">_xlfn.LET(_xlpm.Fin,_xlfn.XLOOKUP(O91,Exp_Shift[[Rating]:[Rating]],Exp_Shift[[Number]:[Number]],0,0),_xlpm.Init,_xlfn.XLOOKUP(O68,Exp_Shift[[Rating]:[Rating]],Exp_Shift[[Number]:[Number]],0,0),_xlpm.X,_xlfn.XLOOKUP(AC68,Exp_Shift[[Rating]:[Rating]],Exp_Shift[[Number]:[Number]],0,0), IF(_xlpm.Fin-_xlpm.Init&gt;0, _xlfn.XLOOKUP(MIN(4,_xlpm.X+1),Exp_Shift[[Number]:[Number]],Exp_Shift[[Rating]:[Rating]],0,0),IF(_xlpm.Fin-_xlpm.Init&lt;0,_xlfn.XLOOKUP(MAX(0,_xlpm.X),Exp_Shift[[Number]:[Number]],Exp_Shift[[Rating]:[Rating]],0,0),AC68)))</f>
        <v>L</v>
      </c>
      <c r="AD91" t="str" cm="1">
        <f t="array" ref="AD91">_xlfn.LET(_xlpm.Fin,_xlfn.XLOOKUP(P91,Exp_Shift[[Rating]:[Rating]],Exp_Shift[[Number]:[Number]],0,0),_xlpm.Init,_xlfn.XLOOKUP(P68,Exp_Shift[[Rating]:[Rating]],Exp_Shift[[Number]:[Number]],0,0),_xlpm.X,_xlfn.XLOOKUP(AD68,Exp_Shift[[Rating]:[Rating]],Exp_Shift[[Number]:[Number]],0,0), IF(_xlpm.Fin-_xlpm.Init&gt;0, _xlfn.XLOOKUP(MIN(4,_xlpm.X+1),Exp_Shift[[Number]:[Number]],Exp_Shift[[Rating]:[Rating]],0,0),IF(_xlpm.Fin-_xlpm.Init&lt;0,_xlfn.XLOOKUP(MAX(0,_xlpm.X),Exp_Shift[[Number]:[Number]],Exp_Shift[[Rating]:[Rating]],0,0),AD68)))</f>
        <v>L</v>
      </c>
      <c r="AE91" s="27" t="str" cm="1">
        <f t="array" ref="AE91">_xlfn.LET(_xlpm.Fin,_xlfn.XLOOKUP(Q91,Exp_Shift[[Rating]:[Rating]],Exp_Shift[[Number]:[Number]],0,0),_xlpm.Init,_xlfn.XLOOKUP(Q68,Exp_Shift[[Rating]:[Rating]],Exp_Shift[[Number]:[Number]],0,0),_xlpm.X,_xlfn.XLOOKUP(AE68,Exp_Shift[[Rating]:[Rating]],Exp_Shift[[Number]:[Number]],0,0), IF(_xlpm.Fin-_xlpm.Init&gt;0, _xlfn.XLOOKUP(MIN(4,_xlpm.X+1),Exp_Shift[[Number]:[Number]],Exp_Shift[[Rating]:[Rating]],0,0),IF(_xlpm.Fin-_xlpm.Init&lt;0,_xlfn.XLOOKUP(MAX(0,_xlpm.X),Exp_Shift[[Number]:[Number]],Exp_Shift[[Rating]:[Rating]],0,0),AE68)))</f>
        <v>E</v>
      </c>
    </row>
    <row r="92" spans="8:31" ht="18" x14ac:dyDescent="0.35">
      <c r="H92" s="26">
        <v>35</v>
      </c>
      <c r="I92" s="332" t="s">
        <v>120</v>
      </c>
      <c r="J92" s="328" t="s">
        <v>224</v>
      </c>
      <c r="K92" s="23" t="str" cm="1">
        <f t="array" ref="K92">_xlfn.SWITCH(K69,"N/A","L","L","M","M","H","H","E","E","N/A")</f>
        <v>H</v>
      </c>
      <c r="L92" t="str" cm="1">
        <f t="array" ref="L92">_xlfn.SWITCH(L69,"N/A","L","L","M","M","H","H","E","E","N/A")</f>
        <v>E</v>
      </c>
      <c r="M92" t="str" cm="1">
        <f t="array" ref="M92">_xlfn.SWITCH(M69,"N/A","L","L","M","M","H","H","E","E","N/A")</f>
        <v>E</v>
      </c>
      <c r="N92" t="str" cm="1">
        <f t="array" ref="N92">_xlfn.SWITCH(N69,"N/A","L","L","M","M","H","H","E","E","N/A")</f>
        <v>L</v>
      </c>
      <c r="O92" t="str" cm="1">
        <f t="array" ref="O92">_xlfn.SWITCH(O69,"N/A","L","L","M","M","H","H","E","E","N/A")</f>
        <v>L</v>
      </c>
      <c r="P92" t="str" cm="1">
        <f t="array" ref="P92">_xlfn.SWITCH(P69,"N/A","L","L","M","M","H","H","E","E","N/A")</f>
        <v>L</v>
      </c>
      <c r="Q92" s="19" t="str" cm="1">
        <f t="array" ref="Q92">_xlfn.SWITCH(Q69,"N/A","L","L","M","M","H","H","E","E","N/A")</f>
        <v>M</v>
      </c>
      <c r="R92" s="23" t="str" cm="1">
        <f t="array" ref="R92">_xlfn.LET(_xlpm.Fin,_xlfn.XLOOKUP(K92,Exp_Shift[[Rating]:[Rating]],Exp_Shift[[Number]:[Number]],0,0),_xlpm.Init,_xlfn.XLOOKUP(K69,Exp_Shift[[Rating]:[Rating]],Exp_Shift[[Number]:[Number]],0,0),_xlpm.X,_xlfn.XLOOKUP(R69,Exp_Shift[[Rating]:[Rating]],Exp_Shift[[Number]:[Number]],0,0), IF(_xlpm.Fin-_xlpm.Init&gt;0, _xlfn.XLOOKUP(MIN(4,_xlpm.X+_xlpm.Fin-_xlpm.Init),Exp_Shift[[Number]:[Number]],Exp_Shift[[Rating]:[Rating]],0,0),IF(_xlpm.Fin-_xlpm.Init&lt;0,_xlfn.XLOOKUP(MAX(0,_xlpm.X-1),Exp_Shift[[Number]:[Number]],Exp_Shift[[Rating]:[Rating]],0,0),R69)))</f>
        <v>E</v>
      </c>
      <c r="S92" t="str" cm="1">
        <f t="array" ref="S92">_xlfn.LET(_xlpm.Fin,_xlfn.XLOOKUP(L92,Exp_Shift[[Rating]:[Rating]],Exp_Shift[[Number]:[Number]],0,0),_xlpm.Init,_xlfn.XLOOKUP(L69,Exp_Shift[[Rating]:[Rating]],Exp_Shift[[Number]:[Number]],0,0),_xlpm.X,_xlfn.XLOOKUP(S69,Exp_Shift[[Rating]:[Rating]],Exp_Shift[[Number]:[Number]],0,0), IF(_xlpm.Fin-_xlpm.Init&gt;0, _xlfn.XLOOKUP(MIN(4,_xlpm.X+_xlpm.Fin-_xlpm.Init),Exp_Shift[[Number]:[Number]],Exp_Shift[[Rating]:[Rating]],0,0),IF(_xlpm.Fin-_xlpm.Init&lt;0,_xlfn.XLOOKUP(MAX(0,_xlpm.X-1),Exp_Shift[[Number]:[Number]],Exp_Shift[[Rating]:[Rating]],0,0),S69)))</f>
        <v>E</v>
      </c>
      <c r="T92" t="str" cm="1">
        <f t="array" ref="T92">_xlfn.LET(_xlpm.Fin,_xlfn.XLOOKUP(M92,Exp_Shift[[Rating]:[Rating]],Exp_Shift[[Number]:[Number]],0,0),_xlpm.Init,_xlfn.XLOOKUP(M69,Exp_Shift[[Rating]:[Rating]],Exp_Shift[[Number]:[Number]],0,0),_xlpm.X,_xlfn.XLOOKUP(T69,Exp_Shift[[Rating]:[Rating]],Exp_Shift[[Number]:[Number]],0,0), IF(_xlpm.Fin-_xlpm.Init&gt;0, _xlfn.XLOOKUP(MIN(4,_xlpm.X+_xlpm.Fin-_xlpm.Init),Exp_Shift[[Number]:[Number]],Exp_Shift[[Rating]:[Rating]],0,0),IF(_xlpm.Fin-_xlpm.Init&lt;0,_xlfn.XLOOKUP(MAX(0,_xlpm.X-1),Exp_Shift[[Number]:[Number]],Exp_Shift[[Rating]:[Rating]],0,0),T69)))</f>
        <v>E</v>
      </c>
      <c r="U92" t="str" cm="1">
        <f t="array" ref="U92">_xlfn.LET(_xlpm.Fin,_xlfn.XLOOKUP(N92,Exp_Shift[[Rating]:[Rating]],Exp_Shift[[Number]:[Number]],0,0),_xlpm.Init,_xlfn.XLOOKUP(N69,Exp_Shift[[Rating]:[Rating]],Exp_Shift[[Number]:[Number]],0,0),_xlpm.X,_xlfn.XLOOKUP(U69,Exp_Shift[[Rating]:[Rating]],Exp_Shift[[Number]:[Number]],0,0), IF(_xlpm.Fin-_xlpm.Init&gt;0, _xlfn.XLOOKUP(MIN(4,_xlpm.X+_xlpm.Fin-_xlpm.Init),Exp_Shift[[Number]:[Number]],Exp_Shift[[Rating]:[Rating]],0,0),IF(_xlpm.Fin-_xlpm.Init&lt;0,_xlfn.XLOOKUP(MAX(0,_xlpm.X-1),Exp_Shift[[Number]:[Number]],Exp_Shift[[Rating]:[Rating]],0,0),U69)))</f>
        <v>L</v>
      </c>
      <c r="V92" t="str" cm="1">
        <f t="array" ref="V92">_xlfn.LET(_xlpm.Fin,_xlfn.XLOOKUP(O92,Exp_Shift[[Rating]:[Rating]],Exp_Shift[[Number]:[Number]],0,0),_xlpm.Init,_xlfn.XLOOKUP(O69,Exp_Shift[[Rating]:[Rating]],Exp_Shift[[Number]:[Number]],0,0),_xlpm.X,_xlfn.XLOOKUP(V69,Exp_Shift[[Rating]:[Rating]],Exp_Shift[[Number]:[Number]],0,0), IF(_xlpm.Fin-_xlpm.Init&gt;0, _xlfn.XLOOKUP(MIN(4,_xlpm.X+_xlpm.Fin-_xlpm.Init),Exp_Shift[[Number]:[Number]],Exp_Shift[[Rating]:[Rating]],0,0),IF(_xlpm.Fin-_xlpm.Init&lt;0,_xlfn.XLOOKUP(MAX(0,_xlpm.X-1),Exp_Shift[[Number]:[Number]],Exp_Shift[[Rating]:[Rating]],0,0),V69)))</f>
        <v>L</v>
      </c>
      <c r="W92" t="str" cm="1">
        <f t="array" ref="W92">_xlfn.LET(_xlpm.Fin,_xlfn.XLOOKUP(P92,Exp_Shift[[Rating]:[Rating]],Exp_Shift[[Number]:[Number]],0,0),_xlpm.Init,_xlfn.XLOOKUP(P69,Exp_Shift[[Rating]:[Rating]],Exp_Shift[[Number]:[Number]],0,0),_xlpm.X,_xlfn.XLOOKUP(W69,Exp_Shift[[Rating]:[Rating]],Exp_Shift[[Number]:[Number]],0,0), IF(_xlpm.Fin-_xlpm.Init&gt;0, _xlfn.XLOOKUP(MIN(4,_xlpm.X+_xlpm.Fin-_xlpm.Init),Exp_Shift[[Number]:[Number]],Exp_Shift[[Rating]:[Rating]],0,0),IF(_xlpm.Fin-_xlpm.Init&lt;0,_xlfn.XLOOKUP(MAX(0,_xlpm.X-1),Exp_Shift[[Number]:[Number]],Exp_Shift[[Rating]:[Rating]],0,0),W69)))</f>
        <v>L</v>
      </c>
      <c r="X92" s="19" t="str" cm="1">
        <f t="array" ref="X92">_xlfn.LET(_xlpm.Fin,_xlfn.XLOOKUP(Q92,Exp_Shift[[Rating]:[Rating]],Exp_Shift[[Number]:[Number]],0,0),_xlpm.Init,_xlfn.XLOOKUP(Q69,Exp_Shift[[Rating]:[Rating]],Exp_Shift[[Number]:[Number]],0,0),_xlpm.X,_xlfn.XLOOKUP(X69,Exp_Shift[[Rating]:[Rating]],Exp_Shift[[Number]:[Number]],0,0), IF(_xlpm.Fin-_xlpm.Init&gt;0, _xlfn.XLOOKUP(MIN(4,_xlpm.X+_xlpm.Fin-_xlpm.Init),Exp_Shift[[Number]:[Number]],Exp_Shift[[Rating]:[Rating]],0,0),IF(_xlpm.Fin-_xlpm.Init&lt;0,_xlfn.XLOOKUP(MAX(0,_xlpm.X-1),Exp_Shift[[Number]:[Number]],Exp_Shift[[Rating]:[Rating]],0,0),X69)))</f>
        <v>M</v>
      </c>
      <c r="Y92" s="23" t="str" cm="1">
        <f t="array" ref="Y92">_xlfn.LET(_xlpm.Fin,_xlfn.XLOOKUP(K92,Exp_Shift[[Rating]:[Rating]],Exp_Shift[[Number]:[Number]],0,0),_xlpm.Init,_xlfn.XLOOKUP(K69,Exp_Shift[[Rating]:[Rating]],Exp_Shift[[Number]:[Number]],0,0),_xlpm.X,_xlfn.XLOOKUP(Y69,Exp_Shift[[Rating]:[Rating]],Exp_Shift[[Number]:[Number]],0,0), IF(_xlpm.Fin-_xlpm.Init&gt;0, _xlfn.XLOOKUP(MIN(4,_xlpm.X+1),Exp_Shift[[Number]:[Number]],Exp_Shift[[Rating]:[Rating]],0,0),IF(_xlpm.Fin-_xlpm.Init&lt;0,_xlfn.XLOOKUP(MAX(0,_xlpm.X),Exp_Shift[[Number]:[Number]],Exp_Shift[[Rating]:[Rating]],0,0),Y69)))</f>
        <v>E</v>
      </c>
      <c r="Z92" t="str" cm="1">
        <f t="array" ref="Z92">_xlfn.LET(_xlpm.Fin,_xlfn.XLOOKUP(L92,Exp_Shift[[Rating]:[Rating]],Exp_Shift[[Number]:[Number]],0,0),_xlpm.Init,_xlfn.XLOOKUP(L69,Exp_Shift[[Rating]:[Rating]],Exp_Shift[[Number]:[Number]],0,0),_xlpm.X,_xlfn.XLOOKUP(Z69,Exp_Shift[[Rating]:[Rating]],Exp_Shift[[Number]:[Number]],0,0), IF(_xlpm.Fin-_xlpm.Init&gt;0, _xlfn.XLOOKUP(MIN(4,_xlpm.X+1),Exp_Shift[[Number]:[Number]],Exp_Shift[[Rating]:[Rating]],0,0),IF(_xlpm.Fin-_xlpm.Init&lt;0,_xlfn.XLOOKUP(MAX(0,_xlpm.X),Exp_Shift[[Number]:[Number]],Exp_Shift[[Rating]:[Rating]],0,0),Z69)))</f>
        <v>E</v>
      </c>
      <c r="AA92" t="str" cm="1">
        <f t="array" ref="AA92">_xlfn.LET(_xlpm.Fin,_xlfn.XLOOKUP(M92,Exp_Shift[[Rating]:[Rating]],Exp_Shift[[Number]:[Number]],0,0),_xlpm.Init,_xlfn.XLOOKUP(M69,Exp_Shift[[Rating]:[Rating]],Exp_Shift[[Number]:[Number]],0,0),_xlpm.X,_xlfn.XLOOKUP(AA69,Exp_Shift[[Rating]:[Rating]],Exp_Shift[[Number]:[Number]],0,0), IF(_xlpm.Fin-_xlpm.Init&gt;0, _xlfn.XLOOKUP(MIN(4,_xlpm.X+1),Exp_Shift[[Number]:[Number]],Exp_Shift[[Rating]:[Rating]],0,0),IF(_xlpm.Fin-_xlpm.Init&lt;0,_xlfn.XLOOKUP(MAX(0,_xlpm.X),Exp_Shift[[Number]:[Number]],Exp_Shift[[Rating]:[Rating]],0,0),AA69)))</f>
        <v>E</v>
      </c>
      <c r="AB92" t="str" cm="1">
        <f t="array" ref="AB92">_xlfn.LET(_xlpm.Fin,_xlfn.XLOOKUP(N92,Exp_Shift[[Rating]:[Rating]],Exp_Shift[[Number]:[Number]],0,0),_xlpm.Init,_xlfn.XLOOKUP(N69,Exp_Shift[[Rating]:[Rating]],Exp_Shift[[Number]:[Number]],0,0),_xlpm.X,_xlfn.XLOOKUP(AB69,Exp_Shift[[Rating]:[Rating]],Exp_Shift[[Number]:[Number]],0,0), IF(_xlpm.Fin-_xlpm.Init&gt;0, _xlfn.XLOOKUP(MIN(4,_xlpm.X+1),Exp_Shift[[Number]:[Number]],Exp_Shift[[Rating]:[Rating]],0,0),IF(_xlpm.Fin-_xlpm.Init&lt;0,_xlfn.XLOOKUP(MAX(0,_xlpm.X),Exp_Shift[[Number]:[Number]],Exp_Shift[[Rating]:[Rating]],0,0),AB69)))</f>
        <v>L</v>
      </c>
      <c r="AC92" t="str" cm="1">
        <f t="array" ref="AC92">_xlfn.LET(_xlpm.Fin,_xlfn.XLOOKUP(O92,Exp_Shift[[Rating]:[Rating]],Exp_Shift[[Number]:[Number]],0,0),_xlpm.Init,_xlfn.XLOOKUP(O69,Exp_Shift[[Rating]:[Rating]],Exp_Shift[[Number]:[Number]],0,0),_xlpm.X,_xlfn.XLOOKUP(AC69,Exp_Shift[[Rating]:[Rating]],Exp_Shift[[Number]:[Number]],0,0), IF(_xlpm.Fin-_xlpm.Init&gt;0, _xlfn.XLOOKUP(MIN(4,_xlpm.X+1),Exp_Shift[[Number]:[Number]],Exp_Shift[[Rating]:[Rating]],0,0),IF(_xlpm.Fin-_xlpm.Init&lt;0,_xlfn.XLOOKUP(MAX(0,_xlpm.X),Exp_Shift[[Number]:[Number]],Exp_Shift[[Rating]:[Rating]],0,0),AC69)))</f>
        <v>L</v>
      </c>
      <c r="AD92" t="str" cm="1">
        <f t="array" ref="AD92">_xlfn.LET(_xlpm.Fin,_xlfn.XLOOKUP(P92,Exp_Shift[[Rating]:[Rating]],Exp_Shift[[Number]:[Number]],0,0),_xlpm.Init,_xlfn.XLOOKUP(P69,Exp_Shift[[Rating]:[Rating]],Exp_Shift[[Number]:[Number]],0,0),_xlpm.X,_xlfn.XLOOKUP(AD69,Exp_Shift[[Rating]:[Rating]],Exp_Shift[[Number]:[Number]],0,0), IF(_xlpm.Fin-_xlpm.Init&gt;0, _xlfn.XLOOKUP(MIN(4,_xlpm.X+1),Exp_Shift[[Number]:[Number]],Exp_Shift[[Rating]:[Rating]],0,0),IF(_xlpm.Fin-_xlpm.Init&lt;0,_xlfn.XLOOKUP(MAX(0,_xlpm.X),Exp_Shift[[Number]:[Number]],Exp_Shift[[Rating]:[Rating]],0,0),AD69)))</f>
        <v>L</v>
      </c>
      <c r="AE92" s="27" t="str" cm="1">
        <f t="array" ref="AE92">_xlfn.LET(_xlpm.Fin,_xlfn.XLOOKUP(Q92,Exp_Shift[[Rating]:[Rating]],Exp_Shift[[Number]:[Number]],0,0),_xlpm.Init,_xlfn.XLOOKUP(Q69,Exp_Shift[[Rating]:[Rating]],Exp_Shift[[Number]:[Number]],0,0),_xlpm.X,_xlfn.XLOOKUP(AE69,Exp_Shift[[Rating]:[Rating]],Exp_Shift[[Number]:[Number]],0,0), IF(_xlpm.Fin-_xlpm.Init&gt;0, _xlfn.XLOOKUP(MIN(4,_xlpm.X+1),Exp_Shift[[Number]:[Number]],Exp_Shift[[Rating]:[Rating]],0,0),IF(_xlpm.Fin-_xlpm.Init&lt;0,_xlfn.XLOOKUP(MAX(0,_xlpm.X),Exp_Shift[[Number]:[Number]],Exp_Shift[[Rating]:[Rating]],0,0),AE69)))</f>
        <v>H</v>
      </c>
    </row>
    <row r="93" spans="8:31" ht="18" x14ac:dyDescent="0.35">
      <c r="H93" s="26">
        <v>36</v>
      </c>
      <c r="I93" s="332" t="s">
        <v>120</v>
      </c>
      <c r="J93" s="328" t="s">
        <v>212</v>
      </c>
      <c r="K93" s="23" t="str" cm="1">
        <f t="array" ref="K93">_xlfn.SWITCH(K70,"N/A","L","L","M","M","H","H","E","E","N/A")</f>
        <v>H</v>
      </c>
      <c r="L93" t="str" cm="1">
        <f t="array" ref="L93">_xlfn.SWITCH(L70,"N/A","L","L","M","M","H","H","E","E","N/A")</f>
        <v>H</v>
      </c>
      <c r="M93" t="str" cm="1">
        <f t="array" ref="M93">_xlfn.SWITCH(M70,"N/A","L","L","M","M","H","H","E","E","N/A")</f>
        <v>E</v>
      </c>
      <c r="N93" t="str" cm="1">
        <f t="array" ref="N93">_xlfn.SWITCH(N70,"N/A","L","L","M","M","H","H","E","E","N/A")</f>
        <v>H</v>
      </c>
      <c r="O93" t="str" cm="1">
        <f t="array" ref="O93">_xlfn.SWITCH(O70,"N/A","L","L","M","M","H","H","E","E","N/A")</f>
        <v>L</v>
      </c>
      <c r="P93" t="str" cm="1">
        <f t="array" ref="P93">_xlfn.SWITCH(P70,"N/A","L","L","M","M","H","H","E","E","N/A")</f>
        <v>L</v>
      </c>
      <c r="Q93" s="19" t="str" cm="1">
        <f t="array" ref="Q93">_xlfn.SWITCH(Q70,"N/A","L","L","M","M","H","H","E","E","N/A")</f>
        <v>H</v>
      </c>
      <c r="R93" s="23" t="str" cm="1">
        <f t="array" ref="R93">_xlfn.LET(_xlpm.Fin,_xlfn.XLOOKUP(K93,Exp_Shift[[Rating]:[Rating]],Exp_Shift[[Number]:[Number]],0,0),_xlpm.Init,_xlfn.XLOOKUP(K70,Exp_Shift[[Rating]:[Rating]],Exp_Shift[[Number]:[Number]],0,0),_xlpm.X,_xlfn.XLOOKUP(R70,Exp_Shift[[Rating]:[Rating]],Exp_Shift[[Number]:[Number]],0,0), IF(_xlpm.Fin-_xlpm.Init&gt;0, _xlfn.XLOOKUP(MIN(4,_xlpm.X+_xlpm.Fin-_xlpm.Init),Exp_Shift[[Number]:[Number]],Exp_Shift[[Rating]:[Rating]],0,0),IF(_xlpm.Fin-_xlpm.Init&lt;0,_xlfn.XLOOKUP(MAX(0,_xlpm.X-1),Exp_Shift[[Number]:[Number]],Exp_Shift[[Rating]:[Rating]],0,0),R70)))</f>
        <v>E</v>
      </c>
      <c r="S93" t="str" cm="1">
        <f t="array" ref="S93">_xlfn.LET(_xlpm.Fin,_xlfn.XLOOKUP(L93,Exp_Shift[[Rating]:[Rating]],Exp_Shift[[Number]:[Number]],0,0),_xlpm.Init,_xlfn.XLOOKUP(L70,Exp_Shift[[Rating]:[Rating]],Exp_Shift[[Number]:[Number]],0,0),_xlpm.X,_xlfn.XLOOKUP(S70,Exp_Shift[[Rating]:[Rating]],Exp_Shift[[Number]:[Number]],0,0), IF(_xlpm.Fin-_xlpm.Init&gt;0, _xlfn.XLOOKUP(MIN(4,_xlpm.X+_xlpm.Fin-_xlpm.Init),Exp_Shift[[Number]:[Number]],Exp_Shift[[Rating]:[Rating]],0,0),IF(_xlpm.Fin-_xlpm.Init&lt;0,_xlfn.XLOOKUP(MAX(0,_xlpm.X-1),Exp_Shift[[Number]:[Number]],Exp_Shift[[Rating]:[Rating]],0,0),S70)))</f>
        <v>H</v>
      </c>
      <c r="T93" t="str" cm="1">
        <f t="array" ref="T93">_xlfn.LET(_xlpm.Fin,_xlfn.XLOOKUP(M93,Exp_Shift[[Rating]:[Rating]],Exp_Shift[[Number]:[Number]],0,0),_xlpm.Init,_xlfn.XLOOKUP(M70,Exp_Shift[[Rating]:[Rating]],Exp_Shift[[Number]:[Number]],0,0),_xlpm.X,_xlfn.XLOOKUP(T70,Exp_Shift[[Rating]:[Rating]],Exp_Shift[[Number]:[Number]],0,0), IF(_xlpm.Fin-_xlpm.Init&gt;0, _xlfn.XLOOKUP(MIN(4,_xlpm.X+_xlpm.Fin-_xlpm.Init),Exp_Shift[[Number]:[Number]],Exp_Shift[[Rating]:[Rating]],0,0),IF(_xlpm.Fin-_xlpm.Init&lt;0,_xlfn.XLOOKUP(MAX(0,_xlpm.X-1),Exp_Shift[[Number]:[Number]],Exp_Shift[[Rating]:[Rating]],0,0),T70)))</f>
        <v>E</v>
      </c>
      <c r="U93" t="str" cm="1">
        <f t="array" ref="U93">_xlfn.LET(_xlpm.Fin,_xlfn.XLOOKUP(N93,Exp_Shift[[Rating]:[Rating]],Exp_Shift[[Number]:[Number]],0,0),_xlpm.Init,_xlfn.XLOOKUP(N70,Exp_Shift[[Rating]:[Rating]],Exp_Shift[[Number]:[Number]],0,0),_xlpm.X,_xlfn.XLOOKUP(U70,Exp_Shift[[Rating]:[Rating]],Exp_Shift[[Number]:[Number]],0,0), IF(_xlpm.Fin-_xlpm.Init&gt;0, _xlfn.XLOOKUP(MIN(4,_xlpm.X+_xlpm.Fin-_xlpm.Init),Exp_Shift[[Number]:[Number]],Exp_Shift[[Rating]:[Rating]],0,0),IF(_xlpm.Fin-_xlpm.Init&lt;0,_xlfn.XLOOKUP(MAX(0,_xlpm.X-1),Exp_Shift[[Number]:[Number]],Exp_Shift[[Rating]:[Rating]],0,0),U70)))</f>
        <v>E</v>
      </c>
      <c r="V93" t="str" cm="1">
        <f t="array" ref="V93">_xlfn.LET(_xlpm.Fin,_xlfn.XLOOKUP(O93,Exp_Shift[[Rating]:[Rating]],Exp_Shift[[Number]:[Number]],0,0),_xlpm.Init,_xlfn.XLOOKUP(O70,Exp_Shift[[Rating]:[Rating]],Exp_Shift[[Number]:[Number]],0,0),_xlpm.X,_xlfn.XLOOKUP(V70,Exp_Shift[[Rating]:[Rating]],Exp_Shift[[Number]:[Number]],0,0), IF(_xlpm.Fin-_xlpm.Init&gt;0, _xlfn.XLOOKUP(MIN(4,_xlpm.X+_xlpm.Fin-_xlpm.Init),Exp_Shift[[Number]:[Number]],Exp_Shift[[Rating]:[Rating]],0,0),IF(_xlpm.Fin-_xlpm.Init&lt;0,_xlfn.XLOOKUP(MAX(0,_xlpm.X-1),Exp_Shift[[Number]:[Number]],Exp_Shift[[Rating]:[Rating]],0,0),V70)))</f>
        <v>L</v>
      </c>
      <c r="W93" t="str" cm="1">
        <f t="array" ref="W93">_xlfn.LET(_xlpm.Fin,_xlfn.XLOOKUP(P93,Exp_Shift[[Rating]:[Rating]],Exp_Shift[[Number]:[Number]],0,0),_xlpm.Init,_xlfn.XLOOKUP(P70,Exp_Shift[[Rating]:[Rating]],Exp_Shift[[Number]:[Number]],0,0),_xlpm.X,_xlfn.XLOOKUP(W70,Exp_Shift[[Rating]:[Rating]],Exp_Shift[[Number]:[Number]],0,0), IF(_xlpm.Fin-_xlpm.Init&gt;0, _xlfn.XLOOKUP(MIN(4,_xlpm.X+_xlpm.Fin-_xlpm.Init),Exp_Shift[[Number]:[Number]],Exp_Shift[[Rating]:[Rating]],0,0),IF(_xlpm.Fin-_xlpm.Init&lt;0,_xlfn.XLOOKUP(MAX(0,_xlpm.X-1),Exp_Shift[[Number]:[Number]],Exp_Shift[[Rating]:[Rating]],0,0),W70)))</f>
        <v>L</v>
      </c>
      <c r="X93" s="19" t="str" cm="1">
        <f t="array" ref="X93">_xlfn.LET(_xlpm.Fin,_xlfn.XLOOKUP(Q93,Exp_Shift[[Rating]:[Rating]],Exp_Shift[[Number]:[Number]],0,0),_xlpm.Init,_xlfn.XLOOKUP(Q70,Exp_Shift[[Rating]:[Rating]],Exp_Shift[[Number]:[Number]],0,0),_xlpm.X,_xlfn.XLOOKUP(X70,Exp_Shift[[Rating]:[Rating]],Exp_Shift[[Number]:[Number]],0,0), IF(_xlpm.Fin-_xlpm.Init&gt;0, _xlfn.XLOOKUP(MIN(4,_xlpm.X+_xlpm.Fin-_xlpm.Init),Exp_Shift[[Number]:[Number]],Exp_Shift[[Rating]:[Rating]],0,0),IF(_xlpm.Fin-_xlpm.Init&lt;0,_xlfn.XLOOKUP(MAX(0,_xlpm.X-1),Exp_Shift[[Number]:[Number]],Exp_Shift[[Rating]:[Rating]],0,0),X70)))</f>
        <v>E</v>
      </c>
      <c r="Y93" s="23" t="str" cm="1">
        <f t="array" ref="Y93">_xlfn.LET(_xlpm.Fin,_xlfn.XLOOKUP(K93,Exp_Shift[[Rating]:[Rating]],Exp_Shift[[Number]:[Number]],0,0),_xlpm.Init,_xlfn.XLOOKUP(K70,Exp_Shift[[Rating]:[Rating]],Exp_Shift[[Number]:[Number]],0,0),_xlpm.X,_xlfn.XLOOKUP(Y70,Exp_Shift[[Rating]:[Rating]],Exp_Shift[[Number]:[Number]],0,0), IF(_xlpm.Fin-_xlpm.Init&gt;0, _xlfn.XLOOKUP(MIN(4,_xlpm.X+1),Exp_Shift[[Number]:[Number]],Exp_Shift[[Rating]:[Rating]],0,0),IF(_xlpm.Fin-_xlpm.Init&lt;0,_xlfn.XLOOKUP(MAX(0,_xlpm.X),Exp_Shift[[Number]:[Number]],Exp_Shift[[Rating]:[Rating]],0,0),Y70)))</f>
        <v>E</v>
      </c>
      <c r="Z93" t="str" cm="1">
        <f t="array" ref="Z93">_xlfn.LET(_xlpm.Fin,_xlfn.XLOOKUP(L93,Exp_Shift[[Rating]:[Rating]],Exp_Shift[[Number]:[Number]],0,0),_xlpm.Init,_xlfn.XLOOKUP(L70,Exp_Shift[[Rating]:[Rating]],Exp_Shift[[Number]:[Number]],0,0),_xlpm.X,_xlfn.XLOOKUP(Z70,Exp_Shift[[Rating]:[Rating]],Exp_Shift[[Number]:[Number]],0,0), IF(_xlpm.Fin-_xlpm.Init&gt;0, _xlfn.XLOOKUP(MIN(4,_xlpm.X+1),Exp_Shift[[Number]:[Number]],Exp_Shift[[Rating]:[Rating]],0,0),IF(_xlpm.Fin-_xlpm.Init&lt;0,_xlfn.XLOOKUP(MAX(0,_xlpm.X),Exp_Shift[[Number]:[Number]],Exp_Shift[[Rating]:[Rating]],0,0),Z70)))</f>
        <v>E</v>
      </c>
      <c r="AA93" t="str" cm="1">
        <f t="array" ref="AA93">_xlfn.LET(_xlpm.Fin,_xlfn.XLOOKUP(M93,Exp_Shift[[Rating]:[Rating]],Exp_Shift[[Number]:[Number]],0,0),_xlpm.Init,_xlfn.XLOOKUP(M70,Exp_Shift[[Rating]:[Rating]],Exp_Shift[[Number]:[Number]],0,0),_xlpm.X,_xlfn.XLOOKUP(AA70,Exp_Shift[[Rating]:[Rating]],Exp_Shift[[Number]:[Number]],0,0), IF(_xlpm.Fin-_xlpm.Init&gt;0, _xlfn.XLOOKUP(MIN(4,_xlpm.X+1),Exp_Shift[[Number]:[Number]],Exp_Shift[[Rating]:[Rating]],0,0),IF(_xlpm.Fin-_xlpm.Init&lt;0,_xlfn.XLOOKUP(MAX(0,_xlpm.X),Exp_Shift[[Number]:[Number]],Exp_Shift[[Rating]:[Rating]],0,0),AA70)))</f>
        <v>E</v>
      </c>
      <c r="AB93" t="str" cm="1">
        <f t="array" ref="AB93">_xlfn.LET(_xlpm.Fin,_xlfn.XLOOKUP(N93,Exp_Shift[[Rating]:[Rating]],Exp_Shift[[Number]:[Number]],0,0),_xlpm.Init,_xlfn.XLOOKUP(N70,Exp_Shift[[Rating]:[Rating]],Exp_Shift[[Number]:[Number]],0,0),_xlpm.X,_xlfn.XLOOKUP(AB70,Exp_Shift[[Rating]:[Rating]],Exp_Shift[[Number]:[Number]],0,0), IF(_xlpm.Fin-_xlpm.Init&gt;0, _xlfn.XLOOKUP(MIN(4,_xlpm.X+1),Exp_Shift[[Number]:[Number]],Exp_Shift[[Rating]:[Rating]],0,0),IF(_xlpm.Fin-_xlpm.Init&lt;0,_xlfn.XLOOKUP(MAX(0,_xlpm.X),Exp_Shift[[Number]:[Number]],Exp_Shift[[Rating]:[Rating]],0,0),AB70)))</f>
        <v>E</v>
      </c>
      <c r="AC93" t="str" cm="1">
        <f t="array" ref="AC93">_xlfn.LET(_xlpm.Fin,_xlfn.XLOOKUP(O93,Exp_Shift[[Rating]:[Rating]],Exp_Shift[[Number]:[Number]],0,0),_xlpm.Init,_xlfn.XLOOKUP(O70,Exp_Shift[[Rating]:[Rating]],Exp_Shift[[Number]:[Number]],0,0),_xlpm.X,_xlfn.XLOOKUP(AC70,Exp_Shift[[Rating]:[Rating]],Exp_Shift[[Number]:[Number]],0,0), IF(_xlpm.Fin-_xlpm.Init&gt;0, _xlfn.XLOOKUP(MIN(4,_xlpm.X+1),Exp_Shift[[Number]:[Number]],Exp_Shift[[Rating]:[Rating]],0,0),IF(_xlpm.Fin-_xlpm.Init&lt;0,_xlfn.XLOOKUP(MAX(0,_xlpm.X),Exp_Shift[[Number]:[Number]],Exp_Shift[[Rating]:[Rating]],0,0),AC70)))</f>
        <v>L</v>
      </c>
      <c r="AD93" t="str" cm="1">
        <f t="array" ref="AD93">_xlfn.LET(_xlpm.Fin,_xlfn.XLOOKUP(P93,Exp_Shift[[Rating]:[Rating]],Exp_Shift[[Number]:[Number]],0,0),_xlpm.Init,_xlfn.XLOOKUP(P70,Exp_Shift[[Rating]:[Rating]],Exp_Shift[[Number]:[Number]],0,0),_xlpm.X,_xlfn.XLOOKUP(AD70,Exp_Shift[[Rating]:[Rating]],Exp_Shift[[Number]:[Number]],0,0), IF(_xlpm.Fin-_xlpm.Init&gt;0, _xlfn.XLOOKUP(MIN(4,_xlpm.X+1),Exp_Shift[[Number]:[Number]],Exp_Shift[[Rating]:[Rating]],0,0),IF(_xlpm.Fin-_xlpm.Init&lt;0,_xlfn.XLOOKUP(MAX(0,_xlpm.X),Exp_Shift[[Number]:[Number]],Exp_Shift[[Rating]:[Rating]],0,0),AD70)))</f>
        <v>L</v>
      </c>
      <c r="AE93" s="27" t="str" cm="1">
        <f t="array" ref="AE93">_xlfn.LET(_xlpm.Fin,_xlfn.XLOOKUP(Q93,Exp_Shift[[Rating]:[Rating]],Exp_Shift[[Number]:[Number]],0,0),_xlpm.Init,_xlfn.XLOOKUP(Q70,Exp_Shift[[Rating]:[Rating]],Exp_Shift[[Number]:[Number]],0,0),_xlpm.X,_xlfn.XLOOKUP(AE70,Exp_Shift[[Rating]:[Rating]],Exp_Shift[[Number]:[Number]],0,0), IF(_xlpm.Fin-_xlpm.Init&gt;0, _xlfn.XLOOKUP(MIN(4,_xlpm.X+1),Exp_Shift[[Number]:[Number]],Exp_Shift[[Rating]:[Rating]],0,0),IF(_xlpm.Fin-_xlpm.Init&lt;0,_xlfn.XLOOKUP(MAX(0,_xlpm.X),Exp_Shift[[Number]:[Number]],Exp_Shift[[Rating]:[Rating]],0,0),AE70)))</f>
        <v>E</v>
      </c>
    </row>
    <row r="94" spans="8:31" ht="18" x14ac:dyDescent="0.35">
      <c r="H94" s="26">
        <v>37</v>
      </c>
      <c r="I94" s="332" t="s">
        <v>120</v>
      </c>
      <c r="J94" s="328" t="s">
        <v>74</v>
      </c>
      <c r="K94" s="23" t="str" cm="1">
        <f t="array" ref="K94">_xlfn.SWITCH(K71,"N/A","L","L","M","M","H","H","E","E","N/A")</f>
        <v>M</v>
      </c>
      <c r="L94" t="str" cm="1">
        <f t="array" ref="L94">_xlfn.SWITCH(L71,"N/A","L","L","M","M","H","H","E","E","N/A")</f>
        <v>H</v>
      </c>
      <c r="M94" t="str" cm="1">
        <f t="array" ref="M94">_xlfn.SWITCH(M71,"N/A","L","L","M","M","H","H","E","E","N/A")</f>
        <v>H</v>
      </c>
      <c r="N94" t="str" cm="1">
        <f t="array" ref="N94">_xlfn.SWITCH(N71,"N/A","L","L","M","M","H","H","E","E","N/A")</f>
        <v>L</v>
      </c>
      <c r="O94" t="str" cm="1">
        <f t="array" ref="O94">_xlfn.SWITCH(O71,"N/A","L","L","M","M","H","H","E","E","N/A")</f>
        <v>L</v>
      </c>
      <c r="P94" t="str" cm="1">
        <f t="array" ref="P94">_xlfn.SWITCH(P71,"N/A","L","L","M","M","H","H","E","E","N/A")</f>
        <v>L</v>
      </c>
      <c r="Q94" s="19" t="str" cm="1">
        <f t="array" ref="Q94">_xlfn.SWITCH(Q71,"N/A","L","L","M","M","H","H","E","E","N/A")</f>
        <v>H</v>
      </c>
      <c r="R94" s="23" t="str" cm="1">
        <f t="array" ref="R94">_xlfn.LET(_xlpm.Fin,_xlfn.XLOOKUP(K94,Exp_Shift[[Rating]:[Rating]],Exp_Shift[[Number]:[Number]],0,0),_xlpm.Init,_xlfn.XLOOKUP(K71,Exp_Shift[[Rating]:[Rating]],Exp_Shift[[Number]:[Number]],0,0),_xlpm.X,_xlfn.XLOOKUP(R71,Exp_Shift[[Rating]:[Rating]],Exp_Shift[[Number]:[Number]],0,0), IF(_xlpm.Fin-_xlpm.Init&gt;0, _xlfn.XLOOKUP(MIN(4,_xlpm.X+_xlpm.Fin-_xlpm.Init),Exp_Shift[[Number]:[Number]],Exp_Shift[[Rating]:[Rating]],0,0),IF(_xlpm.Fin-_xlpm.Init&lt;0,_xlfn.XLOOKUP(MAX(0,_xlpm.X-1),Exp_Shift[[Number]:[Number]],Exp_Shift[[Rating]:[Rating]],0,0),R71)))</f>
        <v>H</v>
      </c>
      <c r="S94" t="str" cm="1">
        <f t="array" ref="S94">_xlfn.LET(_xlpm.Fin,_xlfn.XLOOKUP(L94,Exp_Shift[[Rating]:[Rating]],Exp_Shift[[Number]:[Number]],0,0),_xlpm.Init,_xlfn.XLOOKUP(L71,Exp_Shift[[Rating]:[Rating]],Exp_Shift[[Number]:[Number]],0,0),_xlpm.X,_xlfn.XLOOKUP(S71,Exp_Shift[[Rating]:[Rating]],Exp_Shift[[Number]:[Number]],0,0), IF(_xlpm.Fin-_xlpm.Init&gt;0, _xlfn.XLOOKUP(MIN(4,_xlpm.X+_xlpm.Fin-_xlpm.Init),Exp_Shift[[Number]:[Number]],Exp_Shift[[Rating]:[Rating]],0,0),IF(_xlpm.Fin-_xlpm.Init&lt;0,_xlfn.XLOOKUP(MAX(0,_xlpm.X-1),Exp_Shift[[Number]:[Number]],Exp_Shift[[Rating]:[Rating]],0,0),S71)))</f>
        <v>H</v>
      </c>
      <c r="T94" t="str" cm="1">
        <f t="array" ref="T94">_xlfn.LET(_xlpm.Fin,_xlfn.XLOOKUP(M94,Exp_Shift[[Rating]:[Rating]],Exp_Shift[[Number]:[Number]],0,0),_xlpm.Init,_xlfn.XLOOKUP(M71,Exp_Shift[[Rating]:[Rating]],Exp_Shift[[Number]:[Number]],0,0),_xlpm.X,_xlfn.XLOOKUP(T71,Exp_Shift[[Rating]:[Rating]],Exp_Shift[[Number]:[Number]],0,0), IF(_xlpm.Fin-_xlpm.Init&gt;0, _xlfn.XLOOKUP(MIN(4,_xlpm.X+_xlpm.Fin-_xlpm.Init),Exp_Shift[[Number]:[Number]],Exp_Shift[[Rating]:[Rating]],0,0),IF(_xlpm.Fin-_xlpm.Init&lt;0,_xlfn.XLOOKUP(MAX(0,_xlpm.X-1),Exp_Shift[[Number]:[Number]],Exp_Shift[[Rating]:[Rating]],0,0),T71)))</f>
        <v>E</v>
      </c>
      <c r="U94" t="str" cm="1">
        <f t="array" ref="U94">_xlfn.LET(_xlpm.Fin,_xlfn.XLOOKUP(N94,Exp_Shift[[Rating]:[Rating]],Exp_Shift[[Number]:[Number]],0,0),_xlpm.Init,_xlfn.XLOOKUP(N71,Exp_Shift[[Rating]:[Rating]],Exp_Shift[[Number]:[Number]],0,0),_xlpm.X,_xlfn.XLOOKUP(U71,Exp_Shift[[Rating]:[Rating]],Exp_Shift[[Number]:[Number]],0,0), IF(_xlpm.Fin-_xlpm.Init&gt;0, _xlfn.XLOOKUP(MIN(4,_xlpm.X+_xlpm.Fin-_xlpm.Init),Exp_Shift[[Number]:[Number]],Exp_Shift[[Rating]:[Rating]],0,0),IF(_xlpm.Fin-_xlpm.Init&lt;0,_xlfn.XLOOKUP(MAX(0,_xlpm.X-1),Exp_Shift[[Number]:[Number]],Exp_Shift[[Rating]:[Rating]],0,0),U71)))</f>
        <v>L</v>
      </c>
      <c r="V94" t="str" cm="1">
        <f t="array" ref="V94">_xlfn.LET(_xlpm.Fin,_xlfn.XLOOKUP(O94,Exp_Shift[[Rating]:[Rating]],Exp_Shift[[Number]:[Number]],0,0),_xlpm.Init,_xlfn.XLOOKUP(O71,Exp_Shift[[Rating]:[Rating]],Exp_Shift[[Number]:[Number]],0,0),_xlpm.X,_xlfn.XLOOKUP(V71,Exp_Shift[[Rating]:[Rating]],Exp_Shift[[Number]:[Number]],0,0), IF(_xlpm.Fin-_xlpm.Init&gt;0, _xlfn.XLOOKUP(MIN(4,_xlpm.X+_xlpm.Fin-_xlpm.Init),Exp_Shift[[Number]:[Number]],Exp_Shift[[Rating]:[Rating]],0,0),IF(_xlpm.Fin-_xlpm.Init&lt;0,_xlfn.XLOOKUP(MAX(0,_xlpm.X-1),Exp_Shift[[Number]:[Number]],Exp_Shift[[Rating]:[Rating]],0,0),V71)))</f>
        <v>L</v>
      </c>
      <c r="W94" t="str" cm="1">
        <f t="array" ref="W94">_xlfn.LET(_xlpm.Fin,_xlfn.XLOOKUP(P94,Exp_Shift[[Rating]:[Rating]],Exp_Shift[[Number]:[Number]],0,0),_xlpm.Init,_xlfn.XLOOKUP(P71,Exp_Shift[[Rating]:[Rating]],Exp_Shift[[Number]:[Number]],0,0),_xlpm.X,_xlfn.XLOOKUP(W71,Exp_Shift[[Rating]:[Rating]],Exp_Shift[[Number]:[Number]],0,0), IF(_xlpm.Fin-_xlpm.Init&gt;0, _xlfn.XLOOKUP(MIN(4,_xlpm.X+_xlpm.Fin-_xlpm.Init),Exp_Shift[[Number]:[Number]],Exp_Shift[[Rating]:[Rating]],0,0),IF(_xlpm.Fin-_xlpm.Init&lt;0,_xlfn.XLOOKUP(MAX(0,_xlpm.X-1),Exp_Shift[[Number]:[Number]],Exp_Shift[[Rating]:[Rating]],0,0),W71)))</f>
        <v>L</v>
      </c>
      <c r="X94" s="19" t="str" cm="1">
        <f t="array" ref="X94">_xlfn.LET(_xlpm.Fin,_xlfn.XLOOKUP(Q94,Exp_Shift[[Rating]:[Rating]],Exp_Shift[[Number]:[Number]],0,0),_xlpm.Init,_xlfn.XLOOKUP(Q71,Exp_Shift[[Rating]:[Rating]],Exp_Shift[[Number]:[Number]],0,0),_xlpm.X,_xlfn.XLOOKUP(X71,Exp_Shift[[Rating]:[Rating]],Exp_Shift[[Number]:[Number]],0,0), IF(_xlpm.Fin-_xlpm.Init&gt;0, _xlfn.XLOOKUP(MIN(4,_xlpm.X+_xlpm.Fin-_xlpm.Init),Exp_Shift[[Number]:[Number]],Exp_Shift[[Rating]:[Rating]],0,0),IF(_xlpm.Fin-_xlpm.Init&lt;0,_xlfn.XLOOKUP(MAX(0,_xlpm.X-1),Exp_Shift[[Number]:[Number]],Exp_Shift[[Rating]:[Rating]],0,0),X71)))</f>
        <v>E</v>
      </c>
      <c r="Y94" s="23" t="str" cm="1">
        <f t="array" ref="Y94">_xlfn.LET(_xlpm.Fin,_xlfn.XLOOKUP(K94,Exp_Shift[[Rating]:[Rating]],Exp_Shift[[Number]:[Number]],0,0),_xlpm.Init,_xlfn.XLOOKUP(K71,Exp_Shift[[Rating]:[Rating]],Exp_Shift[[Number]:[Number]],0,0),_xlpm.X,_xlfn.XLOOKUP(Y71,Exp_Shift[[Rating]:[Rating]],Exp_Shift[[Number]:[Number]],0,0), IF(_xlpm.Fin-_xlpm.Init&gt;0, _xlfn.XLOOKUP(MIN(4,_xlpm.X+1),Exp_Shift[[Number]:[Number]],Exp_Shift[[Rating]:[Rating]],0,0),IF(_xlpm.Fin-_xlpm.Init&lt;0,_xlfn.XLOOKUP(MAX(0,_xlpm.X),Exp_Shift[[Number]:[Number]],Exp_Shift[[Rating]:[Rating]],0,0),Y71)))</f>
        <v>E</v>
      </c>
      <c r="Z94" t="str" cm="1">
        <f t="array" ref="Z94">_xlfn.LET(_xlpm.Fin,_xlfn.XLOOKUP(L94,Exp_Shift[[Rating]:[Rating]],Exp_Shift[[Number]:[Number]],0,0),_xlpm.Init,_xlfn.XLOOKUP(L71,Exp_Shift[[Rating]:[Rating]],Exp_Shift[[Number]:[Number]],0,0),_xlpm.X,_xlfn.XLOOKUP(Z71,Exp_Shift[[Rating]:[Rating]],Exp_Shift[[Number]:[Number]],0,0), IF(_xlpm.Fin-_xlpm.Init&gt;0, _xlfn.XLOOKUP(MIN(4,_xlpm.X+1),Exp_Shift[[Number]:[Number]],Exp_Shift[[Rating]:[Rating]],0,0),IF(_xlpm.Fin-_xlpm.Init&lt;0,_xlfn.XLOOKUP(MAX(0,_xlpm.X),Exp_Shift[[Number]:[Number]],Exp_Shift[[Rating]:[Rating]],0,0),Z71)))</f>
        <v>E</v>
      </c>
      <c r="AA94" t="str" cm="1">
        <f t="array" ref="AA94">_xlfn.LET(_xlpm.Fin,_xlfn.XLOOKUP(M94,Exp_Shift[[Rating]:[Rating]],Exp_Shift[[Number]:[Number]],0,0),_xlpm.Init,_xlfn.XLOOKUP(M71,Exp_Shift[[Rating]:[Rating]],Exp_Shift[[Number]:[Number]],0,0),_xlpm.X,_xlfn.XLOOKUP(AA71,Exp_Shift[[Rating]:[Rating]],Exp_Shift[[Number]:[Number]],0,0), IF(_xlpm.Fin-_xlpm.Init&gt;0, _xlfn.XLOOKUP(MIN(4,_xlpm.X+1),Exp_Shift[[Number]:[Number]],Exp_Shift[[Rating]:[Rating]],0,0),IF(_xlpm.Fin-_xlpm.Init&lt;0,_xlfn.XLOOKUP(MAX(0,_xlpm.X),Exp_Shift[[Number]:[Number]],Exp_Shift[[Rating]:[Rating]],0,0),AA71)))</f>
        <v>E</v>
      </c>
      <c r="AB94" t="str" cm="1">
        <f t="array" ref="AB94">_xlfn.LET(_xlpm.Fin,_xlfn.XLOOKUP(N94,Exp_Shift[[Rating]:[Rating]],Exp_Shift[[Number]:[Number]],0,0),_xlpm.Init,_xlfn.XLOOKUP(N71,Exp_Shift[[Rating]:[Rating]],Exp_Shift[[Number]:[Number]],0,0),_xlpm.X,_xlfn.XLOOKUP(AB71,Exp_Shift[[Rating]:[Rating]],Exp_Shift[[Number]:[Number]],0,0), IF(_xlpm.Fin-_xlpm.Init&gt;0, _xlfn.XLOOKUP(MIN(4,_xlpm.X+1),Exp_Shift[[Number]:[Number]],Exp_Shift[[Rating]:[Rating]],0,0),IF(_xlpm.Fin-_xlpm.Init&lt;0,_xlfn.XLOOKUP(MAX(0,_xlpm.X),Exp_Shift[[Number]:[Number]],Exp_Shift[[Rating]:[Rating]],0,0),AB71)))</f>
        <v>L</v>
      </c>
      <c r="AC94" t="str" cm="1">
        <f t="array" ref="AC94">_xlfn.LET(_xlpm.Fin,_xlfn.XLOOKUP(O94,Exp_Shift[[Rating]:[Rating]],Exp_Shift[[Number]:[Number]],0,0),_xlpm.Init,_xlfn.XLOOKUP(O71,Exp_Shift[[Rating]:[Rating]],Exp_Shift[[Number]:[Number]],0,0),_xlpm.X,_xlfn.XLOOKUP(AC71,Exp_Shift[[Rating]:[Rating]],Exp_Shift[[Number]:[Number]],0,0), IF(_xlpm.Fin-_xlpm.Init&gt;0, _xlfn.XLOOKUP(MIN(4,_xlpm.X+1),Exp_Shift[[Number]:[Number]],Exp_Shift[[Rating]:[Rating]],0,0),IF(_xlpm.Fin-_xlpm.Init&lt;0,_xlfn.XLOOKUP(MAX(0,_xlpm.X),Exp_Shift[[Number]:[Number]],Exp_Shift[[Rating]:[Rating]],0,0),AC71)))</f>
        <v>L</v>
      </c>
      <c r="AD94" t="str" cm="1">
        <f t="array" ref="AD94">_xlfn.LET(_xlpm.Fin,_xlfn.XLOOKUP(P94,Exp_Shift[[Rating]:[Rating]],Exp_Shift[[Number]:[Number]],0,0),_xlpm.Init,_xlfn.XLOOKUP(P71,Exp_Shift[[Rating]:[Rating]],Exp_Shift[[Number]:[Number]],0,0),_xlpm.X,_xlfn.XLOOKUP(AD71,Exp_Shift[[Rating]:[Rating]],Exp_Shift[[Number]:[Number]],0,0), IF(_xlpm.Fin-_xlpm.Init&gt;0, _xlfn.XLOOKUP(MIN(4,_xlpm.X+1),Exp_Shift[[Number]:[Number]],Exp_Shift[[Rating]:[Rating]],0,0),IF(_xlpm.Fin-_xlpm.Init&lt;0,_xlfn.XLOOKUP(MAX(0,_xlpm.X),Exp_Shift[[Number]:[Number]],Exp_Shift[[Rating]:[Rating]],0,0),AD71)))</f>
        <v>L</v>
      </c>
      <c r="AE94" s="27" t="str" cm="1">
        <f t="array" ref="AE94">_xlfn.LET(_xlpm.Fin,_xlfn.XLOOKUP(Q94,Exp_Shift[[Rating]:[Rating]],Exp_Shift[[Number]:[Number]],0,0),_xlpm.Init,_xlfn.XLOOKUP(Q71,Exp_Shift[[Rating]:[Rating]],Exp_Shift[[Number]:[Number]],0,0),_xlpm.X,_xlfn.XLOOKUP(AE71,Exp_Shift[[Rating]:[Rating]],Exp_Shift[[Number]:[Number]],0,0), IF(_xlpm.Fin-_xlpm.Init&gt;0, _xlfn.XLOOKUP(MIN(4,_xlpm.X+1),Exp_Shift[[Number]:[Number]],Exp_Shift[[Rating]:[Rating]],0,0),IF(_xlpm.Fin-_xlpm.Init&lt;0,_xlfn.XLOOKUP(MAX(0,_xlpm.X),Exp_Shift[[Number]:[Number]],Exp_Shift[[Rating]:[Rating]],0,0),AE71)))</f>
        <v>E</v>
      </c>
    </row>
    <row r="95" spans="8:31" ht="18" x14ac:dyDescent="0.35">
      <c r="H95" s="26">
        <v>38</v>
      </c>
      <c r="I95" s="331" t="s">
        <v>46</v>
      </c>
      <c r="J95" s="326" t="s">
        <v>227</v>
      </c>
      <c r="K95" s="21" t="str" cm="1">
        <f t="array" ref="K95">_xlfn.SWITCH(K72,"N/A","L","L","M","M","H","H","E","E","N/A")</f>
        <v>M</v>
      </c>
      <c r="L95" s="50" t="str" cm="1">
        <f t="array" ref="L95">_xlfn.SWITCH(L72,"N/A","L","L","M","M","H","H","E","E","N/A")</f>
        <v>E</v>
      </c>
      <c r="M95" s="50" t="str" cm="1">
        <f t="array" ref="M95">_xlfn.SWITCH(M72,"N/A","L","L","M","M","H","H","E","E","N/A")</f>
        <v>E</v>
      </c>
      <c r="N95" s="50" t="str" cm="1">
        <f t="array" ref="N95">_xlfn.SWITCH(N72,"N/A","L","L","M","M","H","H","E","E","N/A")</f>
        <v>H</v>
      </c>
      <c r="O95" s="50" t="str" cm="1">
        <f t="array" ref="O95">_xlfn.SWITCH(O72,"N/A","L","L","M","M","H","H","E","E","N/A")</f>
        <v>L</v>
      </c>
      <c r="P95" s="50" t="str" cm="1">
        <f t="array" ref="P95">_xlfn.SWITCH(P72,"N/A","L","L","M","M","H","H","E","E","N/A")</f>
        <v>L</v>
      </c>
      <c r="Q95" s="95" t="str" cm="1">
        <f t="array" ref="Q95">_xlfn.SWITCH(Q72,"N/A","L","L","M","M","H","H","E","E","N/A")</f>
        <v>H</v>
      </c>
      <c r="R95" s="21" t="str" cm="1">
        <f t="array" ref="R95">_xlfn.LET(_xlpm.Fin,_xlfn.XLOOKUP(K95,Exp_Shift[[Rating]:[Rating]],Exp_Shift[[Number]:[Number]],0,0),_xlpm.Init,_xlfn.XLOOKUP(K72,Exp_Shift[[Rating]:[Rating]],Exp_Shift[[Number]:[Number]],0,0),_xlpm.X,_xlfn.XLOOKUP(R72,Exp_Shift[[Rating]:[Rating]],Exp_Shift[[Number]:[Number]],0,0), IF(_xlpm.Fin-_xlpm.Init&gt;0, _xlfn.XLOOKUP(MIN(4,_xlpm.X+_xlpm.Fin-_xlpm.Init),Exp_Shift[[Number]:[Number]],Exp_Shift[[Rating]:[Rating]],0,0),IF(_xlpm.Fin-_xlpm.Init&lt;0,_xlfn.XLOOKUP(MAX(0,_xlpm.X-1),Exp_Shift[[Number]:[Number]],Exp_Shift[[Rating]:[Rating]],0,0),R72)))</f>
        <v>M</v>
      </c>
      <c r="S95" s="50" t="str" cm="1">
        <f t="array" ref="S95">_xlfn.LET(_xlpm.Fin,_xlfn.XLOOKUP(L95,Exp_Shift[[Rating]:[Rating]],Exp_Shift[[Number]:[Number]],0,0),_xlpm.Init,_xlfn.XLOOKUP(L72,Exp_Shift[[Rating]:[Rating]],Exp_Shift[[Number]:[Number]],0,0),_xlpm.X,_xlfn.XLOOKUP(S72,Exp_Shift[[Rating]:[Rating]],Exp_Shift[[Number]:[Number]],0,0), IF(_xlpm.Fin-_xlpm.Init&gt;0, _xlfn.XLOOKUP(MIN(4,_xlpm.X+_xlpm.Fin-_xlpm.Init),Exp_Shift[[Number]:[Number]],Exp_Shift[[Rating]:[Rating]],0,0),IF(_xlpm.Fin-_xlpm.Init&lt;0,_xlfn.XLOOKUP(MAX(0,_xlpm.X-1),Exp_Shift[[Number]:[Number]],Exp_Shift[[Rating]:[Rating]],0,0),S72)))</f>
        <v>E</v>
      </c>
      <c r="T95" s="50" t="str" cm="1">
        <f t="array" ref="T95">_xlfn.LET(_xlpm.Fin,_xlfn.XLOOKUP(M95,Exp_Shift[[Rating]:[Rating]],Exp_Shift[[Number]:[Number]],0,0),_xlpm.Init,_xlfn.XLOOKUP(M72,Exp_Shift[[Rating]:[Rating]],Exp_Shift[[Number]:[Number]],0,0),_xlpm.X,_xlfn.XLOOKUP(T72,Exp_Shift[[Rating]:[Rating]],Exp_Shift[[Number]:[Number]],0,0), IF(_xlpm.Fin-_xlpm.Init&gt;0, _xlfn.XLOOKUP(MIN(4,_xlpm.X+_xlpm.Fin-_xlpm.Init),Exp_Shift[[Number]:[Number]],Exp_Shift[[Rating]:[Rating]],0,0),IF(_xlpm.Fin-_xlpm.Init&lt;0,_xlfn.XLOOKUP(MAX(0,_xlpm.X-1),Exp_Shift[[Number]:[Number]],Exp_Shift[[Rating]:[Rating]],0,0),T72)))</f>
        <v>E</v>
      </c>
      <c r="U95" s="50" t="str" cm="1">
        <f t="array" ref="U95">_xlfn.LET(_xlpm.Fin,_xlfn.XLOOKUP(N95,Exp_Shift[[Rating]:[Rating]],Exp_Shift[[Number]:[Number]],0,0),_xlpm.Init,_xlfn.XLOOKUP(N72,Exp_Shift[[Rating]:[Rating]],Exp_Shift[[Number]:[Number]],0,0),_xlpm.X,_xlfn.XLOOKUP(U72,Exp_Shift[[Rating]:[Rating]],Exp_Shift[[Number]:[Number]],0,0), IF(_xlpm.Fin-_xlpm.Init&gt;0, _xlfn.XLOOKUP(MIN(4,_xlpm.X+_xlpm.Fin-_xlpm.Init),Exp_Shift[[Number]:[Number]],Exp_Shift[[Rating]:[Rating]],0,0),IF(_xlpm.Fin-_xlpm.Init&lt;0,_xlfn.XLOOKUP(MAX(0,_xlpm.X-1),Exp_Shift[[Number]:[Number]],Exp_Shift[[Rating]:[Rating]],0,0),U72)))</f>
        <v>E</v>
      </c>
      <c r="V95" s="50" t="str" cm="1">
        <f t="array" ref="V95">_xlfn.LET(_xlpm.Fin,_xlfn.XLOOKUP(O95,Exp_Shift[[Rating]:[Rating]],Exp_Shift[[Number]:[Number]],0,0),_xlpm.Init,_xlfn.XLOOKUP(O72,Exp_Shift[[Rating]:[Rating]],Exp_Shift[[Number]:[Number]],0,0),_xlpm.X,_xlfn.XLOOKUP(V72,Exp_Shift[[Rating]:[Rating]],Exp_Shift[[Number]:[Number]],0,0), IF(_xlpm.Fin-_xlpm.Init&gt;0, _xlfn.XLOOKUP(MIN(4,_xlpm.X+_xlpm.Fin-_xlpm.Init),Exp_Shift[[Number]:[Number]],Exp_Shift[[Rating]:[Rating]],0,0),IF(_xlpm.Fin-_xlpm.Init&lt;0,_xlfn.XLOOKUP(MAX(0,_xlpm.X-1),Exp_Shift[[Number]:[Number]],Exp_Shift[[Rating]:[Rating]],0,0),V72)))</f>
        <v>L</v>
      </c>
      <c r="W95" s="50" t="str" cm="1">
        <f t="array" ref="W95">_xlfn.LET(_xlpm.Fin,_xlfn.XLOOKUP(P95,Exp_Shift[[Rating]:[Rating]],Exp_Shift[[Number]:[Number]],0,0),_xlpm.Init,_xlfn.XLOOKUP(P72,Exp_Shift[[Rating]:[Rating]],Exp_Shift[[Number]:[Number]],0,0),_xlpm.X,_xlfn.XLOOKUP(W72,Exp_Shift[[Rating]:[Rating]],Exp_Shift[[Number]:[Number]],0,0), IF(_xlpm.Fin-_xlpm.Init&gt;0, _xlfn.XLOOKUP(MIN(4,_xlpm.X+_xlpm.Fin-_xlpm.Init),Exp_Shift[[Number]:[Number]],Exp_Shift[[Rating]:[Rating]],0,0),IF(_xlpm.Fin-_xlpm.Init&lt;0,_xlfn.XLOOKUP(MAX(0,_xlpm.X-1),Exp_Shift[[Number]:[Number]],Exp_Shift[[Rating]:[Rating]],0,0),W72)))</f>
        <v>L</v>
      </c>
      <c r="X95" s="95" t="str" cm="1">
        <f t="array" ref="X95">_xlfn.LET(_xlpm.Fin,_xlfn.XLOOKUP(Q95,Exp_Shift[[Rating]:[Rating]],Exp_Shift[[Number]:[Number]],0,0),_xlpm.Init,_xlfn.XLOOKUP(Q72,Exp_Shift[[Rating]:[Rating]],Exp_Shift[[Number]:[Number]],0,0),_xlpm.X,_xlfn.XLOOKUP(X72,Exp_Shift[[Rating]:[Rating]],Exp_Shift[[Number]:[Number]],0,0), IF(_xlpm.Fin-_xlpm.Init&gt;0, _xlfn.XLOOKUP(MIN(4,_xlpm.X+_xlpm.Fin-_xlpm.Init),Exp_Shift[[Number]:[Number]],Exp_Shift[[Rating]:[Rating]],0,0),IF(_xlpm.Fin-_xlpm.Init&lt;0,_xlfn.XLOOKUP(MAX(0,_xlpm.X-1),Exp_Shift[[Number]:[Number]],Exp_Shift[[Rating]:[Rating]],0,0),X72)))</f>
        <v>E</v>
      </c>
      <c r="Y95" s="21" t="str" cm="1">
        <f t="array" ref="Y95">_xlfn.LET(_xlpm.Fin,_xlfn.XLOOKUP(K95,Exp_Shift[[Rating]:[Rating]],Exp_Shift[[Number]:[Number]],0,0),_xlpm.Init,_xlfn.XLOOKUP(K72,Exp_Shift[[Rating]:[Rating]],Exp_Shift[[Number]:[Number]],0,0),_xlpm.X,_xlfn.XLOOKUP(Y72,Exp_Shift[[Rating]:[Rating]],Exp_Shift[[Number]:[Number]],0,0), IF(_xlpm.Fin-_xlpm.Init&gt;0, _xlfn.XLOOKUP(MIN(4,_xlpm.X+1),Exp_Shift[[Number]:[Number]],Exp_Shift[[Rating]:[Rating]],0,0),IF(_xlpm.Fin-_xlpm.Init&lt;0,_xlfn.XLOOKUP(MAX(0,_xlpm.X),Exp_Shift[[Number]:[Number]],Exp_Shift[[Rating]:[Rating]],0,0),Y72)))</f>
        <v>H</v>
      </c>
      <c r="Z95" s="50" t="str" cm="1">
        <f t="array" ref="Z95">_xlfn.LET(_xlpm.Fin,_xlfn.XLOOKUP(L95,Exp_Shift[[Rating]:[Rating]],Exp_Shift[[Number]:[Number]],0,0),_xlpm.Init,_xlfn.XLOOKUP(L72,Exp_Shift[[Rating]:[Rating]],Exp_Shift[[Number]:[Number]],0,0),_xlpm.X,_xlfn.XLOOKUP(Z72,Exp_Shift[[Rating]:[Rating]],Exp_Shift[[Number]:[Number]],0,0), IF(_xlpm.Fin-_xlpm.Init&gt;0, _xlfn.XLOOKUP(MIN(4,_xlpm.X+1),Exp_Shift[[Number]:[Number]],Exp_Shift[[Rating]:[Rating]],0,0),IF(_xlpm.Fin-_xlpm.Init&lt;0,_xlfn.XLOOKUP(MAX(0,_xlpm.X),Exp_Shift[[Number]:[Number]],Exp_Shift[[Rating]:[Rating]],0,0),Z72)))</f>
        <v>E</v>
      </c>
      <c r="AA95" s="50" t="str" cm="1">
        <f t="array" ref="AA95">_xlfn.LET(_xlpm.Fin,_xlfn.XLOOKUP(M95,Exp_Shift[[Rating]:[Rating]],Exp_Shift[[Number]:[Number]],0,0),_xlpm.Init,_xlfn.XLOOKUP(M72,Exp_Shift[[Rating]:[Rating]],Exp_Shift[[Number]:[Number]],0,0),_xlpm.X,_xlfn.XLOOKUP(AA72,Exp_Shift[[Rating]:[Rating]],Exp_Shift[[Number]:[Number]],0,0), IF(_xlpm.Fin-_xlpm.Init&gt;0, _xlfn.XLOOKUP(MIN(4,_xlpm.X+1),Exp_Shift[[Number]:[Number]],Exp_Shift[[Rating]:[Rating]],0,0),IF(_xlpm.Fin-_xlpm.Init&lt;0,_xlfn.XLOOKUP(MAX(0,_xlpm.X),Exp_Shift[[Number]:[Number]],Exp_Shift[[Rating]:[Rating]],0,0),AA72)))</f>
        <v>E</v>
      </c>
      <c r="AB95" s="50" t="str" cm="1">
        <f t="array" ref="AB95">_xlfn.LET(_xlpm.Fin,_xlfn.XLOOKUP(N95,Exp_Shift[[Rating]:[Rating]],Exp_Shift[[Number]:[Number]],0,0),_xlpm.Init,_xlfn.XLOOKUP(N72,Exp_Shift[[Rating]:[Rating]],Exp_Shift[[Number]:[Number]],0,0),_xlpm.X,_xlfn.XLOOKUP(AB72,Exp_Shift[[Rating]:[Rating]],Exp_Shift[[Number]:[Number]],0,0), IF(_xlpm.Fin-_xlpm.Init&gt;0, _xlfn.XLOOKUP(MIN(4,_xlpm.X+1),Exp_Shift[[Number]:[Number]],Exp_Shift[[Rating]:[Rating]],0,0),IF(_xlpm.Fin-_xlpm.Init&lt;0,_xlfn.XLOOKUP(MAX(0,_xlpm.X),Exp_Shift[[Number]:[Number]],Exp_Shift[[Rating]:[Rating]],0,0),AB72)))</f>
        <v>E</v>
      </c>
      <c r="AC95" s="50" t="str" cm="1">
        <f t="array" ref="AC95">_xlfn.LET(_xlpm.Fin,_xlfn.XLOOKUP(O95,Exp_Shift[[Rating]:[Rating]],Exp_Shift[[Number]:[Number]],0,0),_xlpm.Init,_xlfn.XLOOKUP(O72,Exp_Shift[[Rating]:[Rating]],Exp_Shift[[Number]:[Number]],0,0),_xlpm.X,_xlfn.XLOOKUP(AC72,Exp_Shift[[Rating]:[Rating]],Exp_Shift[[Number]:[Number]],0,0), IF(_xlpm.Fin-_xlpm.Init&gt;0, _xlfn.XLOOKUP(MIN(4,_xlpm.X+1),Exp_Shift[[Number]:[Number]],Exp_Shift[[Rating]:[Rating]],0,0),IF(_xlpm.Fin-_xlpm.Init&lt;0,_xlfn.XLOOKUP(MAX(0,_xlpm.X),Exp_Shift[[Number]:[Number]],Exp_Shift[[Rating]:[Rating]],0,0),AC72)))</f>
        <v>L</v>
      </c>
      <c r="AD95" s="50" t="str" cm="1">
        <f t="array" ref="AD95">_xlfn.LET(_xlpm.Fin,_xlfn.XLOOKUP(P95,Exp_Shift[[Rating]:[Rating]],Exp_Shift[[Number]:[Number]],0,0),_xlpm.Init,_xlfn.XLOOKUP(P72,Exp_Shift[[Rating]:[Rating]],Exp_Shift[[Number]:[Number]],0,0),_xlpm.X,_xlfn.XLOOKUP(AD72,Exp_Shift[[Rating]:[Rating]],Exp_Shift[[Number]:[Number]],0,0), IF(_xlpm.Fin-_xlpm.Init&gt;0, _xlfn.XLOOKUP(MIN(4,_xlpm.X+1),Exp_Shift[[Number]:[Number]],Exp_Shift[[Rating]:[Rating]],0,0),IF(_xlpm.Fin-_xlpm.Init&lt;0,_xlfn.XLOOKUP(MAX(0,_xlpm.X),Exp_Shift[[Number]:[Number]],Exp_Shift[[Rating]:[Rating]],0,0),AD72)))</f>
        <v>L</v>
      </c>
      <c r="AE95" s="342" t="str" cm="1">
        <f t="array" ref="AE95">_xlfn.LET(_xlpm.Fin,_xlfn.XLOOKUP(Q95,Exp_Shift[[Rating]:[Rating]],Exp_Shift[[Number]:[Number]],0,0),_xlpm.Init,_xlfn.XLOOKUP(Q72,Exp_Shift[[Rating]:[Rating]],Exp_Shift[[Number]:[Number]],0,0),_xlpm.X,_xlfn.XLOOKUP(AE72,Exp_Shift[[Rating]:[Rating]],Exp_Shift[[Number]:[Number]],0,0), IF(_xlpm.Fin-_xlpm.Init&gt;0, _xlfn.XLOOKUP(MIN(4,_xlpm.X+1),Exp_Shift[[Number]:[Number]],Exp_Shift[[Rating]:[Rating]],0,0),IF(_xlpm.Fin-_xlpm.Init&lt;0,_xlfn.XLOOKUP(MAX(0,_xlpm.X),Exp_Shift[[Number]:[Number]],Exp_Shift[[Rating]:[Rating]],0,0),AE72)))</f>
        <v>E</v>
      </c>
    </row>
    <row r="96" spans="8:31" ht="18" x14ac:dyDescent="0.35">
      <c r="H96" s="26">
        <v>39</v>
      </c>
      <c r="I96" s="332" t="s">
        <v>46</v>
      </c>
      <c r="J96" s="328" t="s">
        <v>226</v>
      </c>
      <c r="K96" s="23" t="str" cm="1">
        <f t="array" ref="K96">_xlfn.SWITCH(K73,"N/A","L","L","M","M","H","H","E","E","N/A")</f>
        <v>M</v>
      </c>
      <c r="L96" t="str" cm="1">
        <f t="array" ref="L96">_xlfn.SWITCH(L73,"N/A","L","L","M","M","H","H","E","E","N/A")</f>
        <v>E</v>
      </c>
      <c r="M96" t="str" cm="1">
        <f t="array" ref="M96">_xlfn.SWITCH(M73,"N/A","L","L","M","M","H","H","E","E","N/A")</f>
        <v>E</v>
      </c>
      <c r="N96" t="str" cm="1">
        <f t="array" ref="N96">_xlfn.SWITCH(N73,"N/A","L","L","M","M","H","H","E","E","N/A")</f>
        <v>M</v>
      </c>
      <c r="O96" t="str" cm="1">
        <f t="array" ref="O96">_xlfn.SWITCH(O73,"N/A","L","L","M","M","H","H","E","E","N/A")</f>
        <v>H</v>
      </c>
      <c r="P96" t="str" cm="1">
        <f t="array" ref="P96">_xlfn.SWITCH(P73,"N/A","L","L","M","M","H","H","E","E","N/A")</f>
        <v>H</v>
      </c>
      <c r="Q96" s="19" t="str" cm="1">
        <f t="array" ref="Q96">_xlfn.SWITCH(Q73,"N/A","L","L","M","M","H","H","E","E","N/A")</f>
        <v>H</v>
      </c>
      <c r="R96" s="23" t="str" cm="1">
        <f t="array" ref="R96">_xlfn.LET(_xlpm.Fin,_xlfn.XLOOKUP(K96,Exp_Shift[[Rating]:[Rating]],Exp_Shift[[Number]:[Number]],0,0),_xlpm.Init,_xlfn.XLOOKUP(K73,Exp_Shift[[Rating]:[Rating]],Exp_Shift[[Number]:[Number]],0,0),_xlpm.X,_xlfn.XLOOKUP(R73,Exp_Shift[[Rating]:[Rating]],Exp_Shift[[Number]:[Number]],0,0), IF(_xlpm.Fin-_xlpm.Init&gt;0, _xlfn.XLOOKUP(MIN(4,_xlpm.X+_xlpm.Fin-_xlpm.Init),Exp_Shift[[Number]:[Number]],Exp_Shift[[Rating]:[Rating]],0,0),IF(_xlpm.Fin-_xlpm.Init&lt;0,_xlfn.XLOOKUP(MAX(0,_xlpm.X-1),Exp_Shift[[Number]:[Number]],Exp_Shift[[Rating]:[Rating]],0,0),R73)))</f>
        <v>M</v>
      </c>
      <c r="S96" t="str" cm="1">
        <f t="array" ref="S96">_xlfn.LET(_xlpm.Fin,_xlfn.XLOOKUP(L96,Exp_Shift[[Rating]:[Rating]],Exp_Shift[[Number]:[Number]],0,0),_xlpm.Init,_xlfn.XLOOKUP(L73,Exp_Shift[[Rating]:[Rating]],Exp_Shift[[Number]:[Number]],0,0),_xlpm.X,_xlfn.XLOOKUP(S73,Exp_Shift[[Rating]:[Rating]],Exp_Shift[[Number]:[Number]],0,0), IF(_xlpm.Fin-_xlpm.Init&gt;0, _xlfn.XLOOKUP(MIN(4,_xlpm.X+_xlpm.Fin-_xlpm.Init),Exp_Shift[[Number]:[Number]],Exp_Shift[[Rating]:[Rating]],0,0),IF(_xlpm.Fin-_xlpm.Init&lt;0,_xlfn.XLOOKUP(MAX(0,_xlpm.X-1),Exp_Shift[[Number]:[Number]],Exp_Shift[[Rating]:[Rating]],0,0),S73)))</f>
        <v>E</v>
      </c>
      <c r="T96" t="str" cm="1">
        <f t="array" ref="T96">_xlfn.LET(_xlpm.Fin,_xlfn.XLOOKUP(M96,Exp_Shift[[Rating]:[Rating]],Exp_Shift[[Number]:[Number]],0,0),_xlpm.Init,_xlfn.XLOOKUP(M73,Exp_Shift[[Rating]:[Rating]],Exp_Shift[[Number]:[Number]],0,0),_xlpm.X,_xlfn.XLOOKUP(T73,Exp_Shift[[Rating]:[Rating]],Exp_Shift[[Number]:[Number]],0,0), IF(_xlpm.Fin-_xlpm.Init&gt;0, _xlfn.XLOOKUP(MIN(4,_xlpm.X+_xlpm.Fin-_xlpm.Init),Exp_Shift[[Number]:[Number]],Exp_Shift[[Rating]:[Rating]],0,0),IF(_xlpm.Fin-_xlpm.Init&lt;0,_xlfn.XLOOKUP(MAX(0,_xlpm.X-1),Exp_Shift[[Number]:[Number]],Exp_Shift[[Rating]:[Rating]],0,0),T73)))</f>
        <v>E</v>
      </c>
      <c r="U96" t="str" cm="1">
        <f t="array" ref="U96">_xlfn.LET(_xlpm.Fin,_xlfn.XLOOKUP(N96,Exp_Shift[[Rating]:[Rating]],Exp_Shift[[Number]:[Number]],0,0),_xlpm.Init,_xlfn.XLOOKUP(N73,Exp_Shift[[Rating]:[Rating]],Exp_Shift[[Number]:[Number]],0,0),_xlpm.X,_xlfn.XLOOKUP(U73,Exp_Shift[[Rating]:[Rating]],Exp_Shift[[Number]:[Number]],0,0), IF(_xlpm.Fin-_xlpm.Init&gt;0, _xlfn.XLOOKUP(MIN(4,_xlpm.X+_xlpm.Fin-_xlpm.Init),Exp_Shift[[Number]:[Number]],Exp_Shift[[Rating]:[Rating]],0,0),IF(_xlpm.Fin-_xlpm.Init&lt;0,_xlfn.XLOOKUP(MAX(0,_xlpm.X-1),Exp_Shift[[Number]:[Number]],Exp_Shift[[Rating]:[Rating]],0,0),U73)))</f>
        <v>M</v>
      </c>
      <c r="V96" t="str" cm="1">
        <f t="array" ref="V96">_xlfn.LET(_xlpm.Fin,_xlfn.XLOOKUP(O96,Exp_Shift[[Rating]:[Rating]],Exp_Shift[[Number]:[Number]],0,0),_xlpm.Init,_xlfn.XLOOKUP(O73,Exp_Shift[[Rating]:[Rating]],Exp_Shift[[Number]:[Number]],0,0),_xlpm.X,_xlfn.XLOOKUP(V73,Exp_Shift[[Rating]:[Rating]],Exp_Shift[[Number]:[Number]],0,0), IF(_xlpm.Fin-_xlpm.Init&gt;0, _xlfn.XLOOKUP(MIN(4,_xlpm.X+_xlpm.Fin-_xlpm.Init),Exp_Shift[[Number]:[Number]],Exp_Shift[[Rating]:[Rating]],0,0),IF(_xlpm.Fin-_xlpm.Init&lt;0,_xlfn.XLOOKUP(MAX(0,_xlpm.X-1),Exp_Shift[[Number]:[Number]],Exp_Shift[[Rating]:[Rating]],0,0),V73)))</f>
        <v>E</v>
      </c>
      <c r="W96" t="str" cm="1">
        <f t="array" ref="W96">_xlfn.LET(_xlpm.Fin,_xlfn.XLOOKUP(P96,Exp_Shift[[Rating]:[Rating]],Exp_Shift[[Number]:[Number]],0,0),_xlpm.Init,_xlfn.XLOOKUP(P73,Exp_Shift[[Rating]:[Rating]],Exp_Shift[[Number]:[Number]],0,0),_xlpm.X,_xlfn.XLOOKUP(W73,Exp_Shift[[Rating]:[Rating]],Exp_Shift[[Number]:[Number]],0,0), IF(_xlpm.Fin-_xlpm.Init&gt;0, _xlfn.XLOOKUP(MIN(4,_xlpm.X+_xlpm.Fin-_xlpm.Init),Exp_Shift[[Number]:[Number]],Exp_Shift[[Rating]:[Rating]],0,0),IF(_xlpm.Fin-_xlpm.Init&lt;0,_xlfn.XLOOKUP(MAX(0,_xlpm.X-1),Exp_Shift[[Number]:[Number]],Exp_Shift[[Rating]:[Rating]],0,0),W73)))</f>
        <v>E</v>
      </c>
      <c r="X96" s="19" t="str" cm="1">
        <f t="array" ref="X96">_xlfn.LET(_xlpm.Fin,_xlfn.XLOOKUP(Q96,Exp_Shift[[Rating]:[Rating]],Exp_Shift[[Number]:[Number]],0,0),_xlpm.Init,_xlfn.XLOOKUP(Q73,Exp_Shift[[Rating]:[Rating]],Exp_Shift[[Number]:[Number]],0,0),_xlpm.X,_xlfn.XLOOKUP(X73,Exp_Shift[[Rating]:[Rating]],Exp_Shift[[Number]:[Number]],0,0), IF(_xlpm.Fin-_xlpm.Init&gt;0, _xlfn.XLOOKUP(MIN(4,_xlpm.X+_xlpm.Fin-_xlpm.Init),Exp_Shift[[Number]:[Number]],Exp_Shift[[Rating]:[Rating]],0,0),IF(_xlpm.Fin-_xlpm.Init&lt;0,_xlfn.XLOOKUP(MAX(0,_xlpm.X-1),Exp_Shift[[Number]:[Number]],Exp_Shift[[Rating]:[Rating]],0,0),X73)))</f>
        <v>E</v>
      </c>
      <c r="Y96" s="23" t="str" cm="1">
        <f t="array" ref="Y96">_xlfn.LET(_xlpm.Fin,_xlfn.XLOOKUP(K96,Exp_Shift[[Rating]:[Rating]],Exp_Shift[[Number]:[Number]],0,0),_xlpm.Init,_xlfn.XLOOKUP(K73,Exp_Shift[[Rating]:[Rating]],Exp_Shift[[Number]:[Number]],0,0),_xlpm.X,_xlfn.XLOOKUP(Y73,Exp_Shift[[Rating]:[Rating]],Exp_Shift[[Number]:[Number]],0,0), IF(_xlpm.Fin-_xlpm.Init&gt;0, _xlfn.XLOOKUP(MIN(4,_xlpm.X+1),Exp_Shift[[Number]:[Number]],Exp_Shift[[Rating]:[Rating]],0,0),IF(_xlpm.Fin-_xlpm.Init&lt;0,_xlfn.XLOOKUP(MAX(0,_xlpm.X),Exp_Shift[[Number]:[Number]],Exp_Shift[[Rating]:[Rating]],0,0),Y73)))</f>
        <v>H</v>
      </c>
      <c r="Z96" t="str" cm="1">
        <f t="array" ref="Z96">_xlfn.LET(_xlpm.Fin,_xlfn.XLOOKUP(L96,Exp_Shift[[Rating]:[Rating]],Exp_Shift[[Number]:[Number]],0,0),_xlpm.Init,_xlfn.XLOOKUP(L73,Exp_Shift[[Rating]:[Rating]],Exp_Shift[[Number]:[Number]],0,0),_xlpm.X,_xlfn.XLOOKUP(Z73,Exp_Shift[[Rating]:[Rating]],Exp_Shift[[Number]:[Number]],0,0), IF(_xlpm.Fin-_xlpm.Init&gt;0, _xlfn.XLOOKUP(MIN(4,_xlpm.X+1),Exp_Shift[[Number]:[Number]],Exp_Shift[[Rating]:[Rating]],0,0),IF(_xlpm.Fin-_xlpm.Init&lt;0,_xlfn.XLOOKUP(MAX(0,_xlpm.X),Exp_Shift[[Number]:[Number]],Exp_Shift[[Rating]:[Rating]],0,0),Z73)))</f>
        <v>E</v>
      </c>
      <c r="AA96" t="str" cm="1">
        <f t="array" ref="AA96">_xlfn.LET(_xlpm.Fin,_xlfn.XLOOKUP(M96,Exp_Shift[[Rating]:[Rating]],Exp_Shift[[Number]:[Number]],0,0),_xlpm.Init,_xlfn.XLOOKUP(M73,Exp_Shift[[Rating]:[Rating]],Exp_Shift[[Number]:[Number]],0,0),_xlpm.X,_xlfn.XLOOKUP(AA73,Exp_Shift[[Rating]:[Rating]],Exp_Shift[[Number]:[Number]],0,0), IF(_xlpm.Fin-_xlpm.Init&gt;0, _xlfn.XLOOKUP(MIN(4,_xlpm.X+1),Exp_Shift[[Number]:[Number]],Exp_Shift[[Rating]:[Rating]],0,0),IF(_xlpm.Fin-_xlpm.Init&lt;0,_xlfn.XLOOKUP(MAX(0,_xlpm.X),Exp_Shift[[Number]:[Number]],Exp_Shift[[Rating]:[Rating]],0,0),AA73)))</f>
        <v>E</v>
      </c>
      <c r="AB96" t="str" cm="1">
        <f t="array" ref="AB96">_xlfn.LET(_xlpm.Fin,_xlfn.XLOOKUP(N96,Exp_Shift[[Rating]:[Rating]],Exp_Shift[[Number]:[Number]],0,0),_xlpm.Init,_xlfn.XLOOKUP(N73,Exp_Shift[[Rating]:[Rating]],Exp_Shift[[Number]:[Number]],0,0),_xlpm.X,_xlfn.XLOOKUP(AB73,Exp_Shift[[Rating]:[Rating]],Exp_Shift[[Number]:[Number]],0,0), IF(_xlpm.Fin-_xlpm.Init&gt;0, _xlfn.XLOOKUP(MIN(4,_xlpm.X+1),Exp_Shift[[Number]:[Number]],Exp_Shift[[Rating]:[Rating]],0,0),IF(_xlpm.Fin-_xlpm.Init&lt;0,_xlfn.XLOOKUP(MAX(0,_xlpm.X),Exp_Shift[[Number]:[Number]],Exp_Shift[[Rating]:[Rating]],0,0),AB73)))</f>
        <v>M</v>
      </c>
      <c r="AC96" t="str" cm="1">
        <f t="array" ref="AC96">_xlfn.LET(_xlpm.Fin,_xlfn.XLOOKUP(O96,Exp_Shift[[Rating]:[Rating]],Exp_Shift[[Number]:[Number]],0,0),_xlpm.Init,_xlfn.XLOOKUP(O73,Exp_Shift[[Rating]:[Rating]],Exp_Shift[[Number]:[Number]],0,0),_xlpm.X,_xlfn.XLOOKUP(AC73,Exp_Shift[[Rating]:[Rating]],Exp_Shift[[Number]:[Number]],0,0), IF(_xlpm.Fin-_xlpm.Init&gt;0, _xlfn.XLOOKUP(MIN(4,_xlpm.X+1),Exp_Shift[[Number]:[Number]],Exp_Shift[[Rating]:[Rating]],0,0),IF(_xlpm.Fin-_xlpm.Init&lt;0,_xlfn.XLOOKUP(MAX(0,_xlpm.X),Exp_Shift[[Number]:[Number]],Exp_Shift[[Rating]:[Rating]],0,0),AC73)))</f>
        <v>E</v>
      </c>
      <c r="AD96" t="str" cm="1">
        <f t="array" ref="AD96">_xlfn.LET(_xlpm.Fin,_xlfn.XLOOKUP(P96,Exp_Shift[[Rating]:[Rating]],Exp_Shift[[Number]:[Number]],0,0),_xlpm.Init,_xlfn.XLOOKUP(P73,Exp_Shift[[Rating]:[Rating]],Exp_Shift[[Number]:[Number]],0,0),_xlpm.X,_xlfn.XLOOKUP(AD73,Exp_Shift[[Rating]:[Rating]],Exp_Shift[[Number]:[Number]],0,0), IF(_xlpm.Fin-_xlpm.Init&gt;0, _xlfn.XLOOKUP(MIN(4,_xlpm.X+1),Exp_Shift[[Number]:[Number]],Exp_Shift[[Rating]:[Rating]],0,0),IF(_xlpm.Fin-_xlpm.Init&lt;0,_xlfn.XLOOKUP(MAX(0,_xlpm.X),Exp_Shift[[Number]:[Number]],Exp_Shift[[Rating]:[Rating]],0,0),AD73)))</f>
        <v>E</v>
      </c>
      <c r="AE96" s="27" t="str" cm="1">
        <f t="array" ref="AE96">_xlfn.LET(_xlpm.Fin,_xlfn.XLOOKUP(Q96,Exp_Shift[[Rating]:[Rating]],Exp_Shift[[Number]:[Number]],0,0),_xlpm.Init,_xlfn.XLOOKUP(Q73,Exp_Shift[[Rating]:[Rating]],Exp_Shift[[Number]:[Number]],0,0),_xlpm.X,_xlfn.XLOOKUP(AE73,Exp_Shift[[Rating]:[Rating]],Exp_Shift[[Number]:[Number]],0,0), IF(_xlpm.Fin-_xlpm.Init&gt;0, _xlfn.XLOOKUP(MIN(4,_xlpm.X+1),Exp_Shift[[Number]:[Number]],Exp_Shift[[Rating]:[Rating]],0,0),IF(_xlpm.Fin-_xlpm.Init&lt;0,_xlfn.XLOOKUP(MAX(0,_xlpm.X),Exp_Shift[[Number]:[Number]],Exp_Shift[[Rating]:[Rating]],0,0),AE73)))</f>
        <v>E</v>
      </c>
    </row>
    <row r="97" spans="8:31" ht="18" x14ac:dyDescent="0.35">
      <c r="H97" s="26">
        <v>40</v>
      </c>
      <c r="I97" s="332" t="s">
        <v>46</v>
      </c>
      <c r="J97" s="328" t="s">
        <v>225</v>
      </c>
      <c r="K97" s="23" t="str" cm="1">
        <f t="array" ref="K97">_xlfn.SWITCH(K74,"N/A","L","L","M","M","H","H","E","E","N/A")</f>
        <v>M</v>
      </c>
      <c r="L97" t="str" cm="1">
        <f t="array" ref="L97">_xlfn.SWITCH(L74,"N/A","L","L","M","M","H","H","E","E","N/A")</f>
        <v>E</v>
      </c>
      <c r="M97" t="str" cm="1">
        <f t="array" ref="M97">_xlfn.SWITCH(M74,"N/A","L","L","M","M","H","H","E","E","N/A")</f>
        <v>E</v>
      </c>
      <c r="N97" t="str" cm="1">
        <f t="array" ref="N97">_xlfn.SWITCH(N74,"N/A","L","L","M","M","H","H","E","E","N/A")</f>
        <v>H</v>
      </c>
      <c r="O97" t="str" cm="1">
        <f t="array" ref="O97">_xlfn.SWITCH(O74,"N/A","L","L","M","M","H","H","E","E","N/A")</f>
        <v>L</v>
      </c>
      <c r="P97" t="str" cm="1">
        <f t="array" ref="P97">_xlfn.SWITCH(P74,"N/A","L","L","M","M","H","H","E","E","N/A")</f>
        <v>L</v>
      </c>
      <c r="Q97" s="19" t="str" cm="1">
        <f t="array" ref="Q97">_xlfn.SWITCH(Q74,"N/A","L","L","M","M","H","H","E","E","N/A")</f>
        <v>H</v>
      </c>
      <c r="R97" s="23" t="str" cm="1">
        <f t="array" ref="R97">_xlfn.LET(_xlpm.Fin,_xlfn.XLOOKUP(K97,Exp_Shift[[Rating]:[Rating]],Exp_Shift[[Number]:[Number]],0,0),_xlpm.Init,_xlfn.XLOOKUP(K74,Exp_Shift[[Rating]:[Rating]],Exp_Shift[[Number]:[Number]],0,0),_xlpm.X,_xlfn.XLOOKUP(R74,Exp_Shift[[Rating]:[Rating]],Exp_Shift[[Number]:[Number]],0,0), IF(_xlpm.Fin-_xlpm.Init&gt;0, _xlfn.XLOOKUP(MIN(4,_xlpm.X+_xlpm.Fin-_xlpm.Init),Exp_Shift[[Number]:[Number]],Exp_Shift[[Rating]:[Rating]],0,0),IF(_xlpm.Fin-_xlpm.Init&lt;0,_xlfn.XLOOKUP(MAX(0,_xlpm.X-1),Exp_Shift[[Number]:[Number]],Exp_Shift[[Rating]:[Rating]],0,0),R74)))</f>
        <v>M</v>
      </c>
      <c r="S97" t="str" cm="1">
        <f t="array" ref="S97">_xlfn.LET(_xlpm.Fin,_xlfn.XLOOKUP(L97,Exp_Shift[[Rating]:[Rating]],Exp_Shift[[Number]:[Number]],0,0),_xlpm.Init,_xlfn.XLOOKUP(L74,Exp_Shift[[Rating]:[Rating]],Exp_Shift[[Number]:[Number]],0,0),_xlpm.X,_xlfn.XLOOKUP(S74,Exp_Shift[[Rating]:[Rating]],Exp_Shift[[Number]:[Number]],0,0), IF(_xlpm.Fin-_xlpm.Init&gt;0, _xlfn.XLOOKUP(MIN(4,_xlpm.X+_xlpm.Fin-_xlpm.Init),Exp_Shift[[Number]:[Number]],Exp_Shift[[Rating]:[Rating]],0,0),IF(_xlpm.Fin-_xlpm.Init&lt;0,_xlfn.XLOOKUP(MAX(0,_xlpm.X-1),Exp_Shift[[Number]:[Number]],Exp_Shift[[Rating]:[Rating]],0,0),S74)))</f>
        <v>E</v>
      </c>
      <c r="T97" t="str" cm="1">
        <f t="array" ref="T97">_xlfn.LET(_xlpm.Fin,_xlfn.XLOOKUP(M97,Exp_Shift[[Rating]:[Rating]],Exp_Shift[[Number]:[Number]],0,0),_xlpm.Init,_xlfn.XLOOKUP(M74,Exp_Shift[[Rating]:[Rating]],Exp_Shift[[Number]:[Number]],0,0),_xlpm.X,_xlfn.XLOOKUP(T74,Exp_Shift[[Rating]:[Rating]],Exp_Shift[[Number]:[Number]],0,0), IF(_xlpm.Fin-_xlpm.Init&gt;0, _xlfn.XLOOKUP(MIN(4,_xlpm.X+_xlpm.Fin-_xlpm.Init),Exp_Shift[[Number]:[Number]],Exp_Shift[[Rating]:[Rating]],0,0),IF(_xlpm.Fin-_xlpm.Init&lt;0,_xlfn.XLOOKUP(MAX(0,_xlpm.X-1),Exp_Shift[[Number]:[Number]],Exp_Shift[[Rating]:[Rating]],0,0),T74)))</f>
        <v>E</v>
      </c>
      <c r="U97" t="str" cm="1">
        <f t="array" ref="U97">_xlfn.LET(_xlpm.Fin,_xlfn.XLOOKUP(N97,Exp_Shift[[Rating]:[Rating]],Exp_Shift[[Number]:[Number]],0,0),_xlpm.Init,_xlfn.XLOOKUP(N74,Exp_Shift[[Rating]:[Rating]],Exp_Shift[[Number]:[Number]],0,0),_xlpm.X,_xlfn.XLOOKUP(U74,Exp_Shift[[Rating]:[Rating]],Exp_Shift[[Number]:[Number]],0,0), IF(_xlpm.Fin-_xlpm.Init&gt;0, _xlfn.XLOOKUP(MIN(4,_xlpm.X+_xlpm.Fin-_xlpm.Init),Exp_Shift[[Number]:[Number]],Exp_Shift[[Rating]:[Rating]],0,0),IF(_xlpm.Fin-_xlpm.Init&lt;0,_xlfn.XLOOKUP(MAX(0,_xlpm.X-1),Exp_Shift[[Number]:[Number]],Exp_Shift[[Rating]:[Rating]],0,0),U74)))</f>
        <v>E</v>
      </c>
      <c r="V97" t="str" cm="1">
        <f t="array" ref="V97">_xlfn.LET(_xlpm.Fin,_xlfn.XLOOKUP(O97,Exp_Shift[[Rating]:[Rating]],Exp_Shift[[Number]:[Number]],0,0),_xlpm.Init,_xlfn.XLOOKUP(O74,Exp_Shift[[Rating]:[Rating]],Exp_Shift[[Number]:[Number]],0,0),_xlpm.X,_xlfn.XLOOKUP(V74,Exp_Shift[[Rating]:[Rating]],Exp_Shift[[Number]:[Number]],0,0), IF(_xlpm.Fin-_xlpm.Init&gt;0, _xlfn.XLOOKUP(MIN(4,_xlpm.X+_xlpm.Fin-_xlpm.Init),Exp_Shift[[Number]:[Number]],Exp_Shift[[Rating]:[Rating]],0,0),IF(_xlpm.Fin-_xlpm.Init&lt;0,_xlfn.XLOOKUP(MAX(0,_xlpm.X-1),Exp_Shift[[Number]:[Number]],Exp_Shift[[Rating]:[Rating]],0,0),V74)))</f>
        <v>L</v>
      </c>
      <c r="W97" t="str" cm="1">
        <f t="array" ref="W97">_xlfn.LET(_xlpm.Fin,_xlfn.XLOOKUP(P97,Exp_Shift[[Rating]:[Rating]],Exp_Shift[[Number]:[Number]],0,0),_xlpm.Init,_xlfn.XLOOKUP(P74,Exp_Shift[[Rating]:[Rating]],Exp_Shift[[Number]:[Number]],0,0),_xlpm.X,_xlfn.XLOOKUP(W74,Exp_Shift[[Rating]:[Rating]],Exp_Shift[[Number]:[Number]],0,0), IF(_xlpm.Fin-_xlpm.Init&gt;0, _xlfn.XLOOKUP(MIN(4,_xlpm.X+_xlpm.Fin-_xlpm.Init),Exp_Shift[[Number]:[Number]],Exp_Shift[[Rating]:[Rating]],0,0),IF(_xlpm.Fin-_xlpm.Init&lt;0,_xlfn.XLOOKUP(MAX(0,_xlpm.X-1),Exp_Shift[[Number]:[Number]],Exp_Shift[[Rating]:[Rating]],0,0),W74)))</f>
        <v>L</v>
      </c>
      <c r="X97" s="19" t="str" cm="1">
        <f t="array" ref="X97">_xlfn.LET(_xlpm.Fin,_xlfn.XLOOKUP(Q97,Exp_Shift[[Rating]:[Rating]],Exp_Shift[[Number]:[Number]],0,0),_xlpm.Init,_xlfn.XLOOKUP(Q74,Exp_Shift[[Rating]:[Rating]],Exp_Shift[[Number]:[Number]],0,0),_xlpm.X,_xlfn.XLOOKUP(X74,Exp_Shift[[Rating]:[Rating]],Exp_Shift[[Number]:[Number]],0,0), IF(_xlpm.Fin-_xlpm.Init&gt;0, _xlfn.XLOOKUP(MIN(4,_xlpm.X+_xlpm.Fin-_xlpm.Init),Exp_Shift[[Number]:[Number]],Exp_Shift[[Rating]:[Rating]],0,0),IF(_xlpm.Fin-_xlpm.Init&lt;0,_xlfn.XLOOKUP(MAX(0,_xlpm.X-1),Exp_Shift[[Number]:[Number]],Exp_Shift[[Rating]:[Rating]],0,0),X74)))</f>
        <v>E</v>
      </c>
      <c r="Y97" s="23" t="str" cm="1">
        <f t="array" ref="Y97">_xlfn.LET(_xlpm.Fin,_xlfn.XLOOKUP(K97,Exp_Shift[[Rating]:[Rating]],Exp_Shift[[Number]:[Number]],0,0),_xlpm.Init,_xlfn.XLOOKUP(K74,Exp_Shift[[Rating]:[Rating]],Exp_Shift[[Number]:[Number]],0,0),_xlpm.X,_xlfn.XLOOKUP(Y74,Exp_Shift[[Rating]:[Rating]],Exp_Shift[[Number]:[Number]],0,0), IF(_xlpm.Fin-_xlpm.Init&gt;0, _xlfn.XLOOKUP(MIN(4,_xlpm.X+1),Exp_Shift[[Number]:[Number]],Exp_Shift[[Rating]:[Rating]],0,0),IF(_xlpm.Fin-_xlpm.Init&lt;0,_xlfn.XLOOKUP(MAX(0,_xlpm.X),Exp_Shift[[Number]:[Number]],Exp_Shift[[Rating]:[Rating]],0,0),Y74)))</f>
        <v>E</v>
      </c>
      <c r="Z97" t="str" cm="1">
        <f t="array" ref="Z97">_xlfn.LET(_xlpm.Fin,_xlfn.XLOOKUP(L97,Exp_Shift[[Rating]:[Rating]],Exp_Shift[[Number]:[Number]],0,0),_xlpm.Init,_xlfn.XLOOKUP(L74,Exp_Shift[[Rating]:[Rating]],Exp_Shift[[Number]:[Number]],0,0),_xlpm.X,_xlfn.XLOOKUP(Z74,Exp_Shift[[Rating]:[Rating]],Exp_Shift[[Number]:[Number]],0,0), IF(_xlpm.Fin-_xlpm.Init&gt;0, _xlfn.XLOOKUP(MIN(4,_xlpm.X+1),Exp_Shift[[Number]:[Number]],Exp_Shift[[Rating]:[Rating]],0,0),IF(_xlpm.Fin-_xlpm.Init&lt;0,_xlfn.XLOOKUP(MAX(0,_xlpm.X),Exp_Shift[[Number]:[Number]],Exp_Shift[[Rating]:[Rating]],0,0),Z74)))</f>
        <v>E</v>
      </c>
      <c r="AA97" t="str" cm="1">
        <f t="array" ref="AA97">_xlfn.LET(_xlpm.Fin,_xlfn.XLOOKUP(M97,Exp_Shift[[Rating]:[Rating]],Exp_Shift[[Number]:[Number]],0,0),_xlpm.Init,_xlfn.XLOOKUP(M74,Exp_Shift[[Rating]:[Rating]],Exp_Shift[[Number]:[Number]],0,0),_xlpm.X,_xlfn.XLOOKUP(AA74,Exp_Shift[[Rating]:[Rating]],Exp_Shift[[Number]:[Number]],0,0), IF(_xlpm.Fin-_xlpm.Init&gt;0, _xlfn.XLOOKUP(MIN(4,_xlpm.X+1),Exp_Shift[[Number]:[Number]],Exp_Shift[[Rating]:[Rating]],0,0),IF(_xlpm.Fin-_xlpm.Init&lt;0,_xlfn.XLOOKUP(MAX(0,_xlpm.X),Exp_Shift[[Number]:[Number]],Exp_Shift[[Rating]:[Rating]],0,0),AA74)))</f>
        <v>E</v>
      </c>
      <c r="AB97" t="str" cm="1">
        <f t="array" ref="AB97">_xlfn.LET(_xlpm.Fin,_xlfn.XLOOKUP(N97,Exp_Shift[[Rating]:[Rating]],Exp_Shift[[Number]:[Number]],0,0),_xlpm.Init,_xlfn.XLOOKUP(N74,Exp_Shift[[Rating]:[Rating]],Exp_Shift[[Number]:[Number]],0,0),_xlpm.X,_xlfn.XLOOKUP(AB74,Exp_Shift[[Rating]:[Rating]],Exp_Shift[[Number]:[Number]],0,0), IF(_xlpm.Fin-_xlpm.Init&gt;0, _xlfn.XLOOKUP(MIN(4,_xlpm.X+1),Exp_Shift[[Number]:[Number]],Exp_Shift[[Rating]:[Rating]],0,0),IF(_xlpm.Fin-_xlpm.Init&lt;0,_xlfn.XLOOKUP(MAX(0,_xlpm.X),Exp_Shift[[Number]:[Number]],Exp_Shift[[Rating]:[Rating]],0,0),AB74)))</f>
        <v>E</v>
      </c>
      <c r="AC97" t="str" cm="1">
        <f t="array" ref="AC97">_xlfn.LET(_xlpm.Fin,_xlfn.XLOOKUP(O97,Exp_Shift[[Rating]:[Rating]],Exp_Shift[[Number]:[Number]],0,0),_xlpm.Init,_xlfn.XLOOKUP(O74,Exp_Shift[[Rating]:[Rating]],Exp_Shift[[Number]:[Number]],0,0),_xlpm.X,_xlfn.XLOOKUP(AC74,Exp_Shift[[Rating]:[Rating]],Exp_Shift[[Number]:[Number]],0,0), IF(_xlpm.Fin-_xlpm.Init&gt;0, _xlfn.XLOOKUP(MIN(4,_xlpm.X+1),Exp_Shift[[Number]:[Number]],Exp_Shift[[Rating]:[Rating]],0,0),IF(_xlpm.Fin-_xlpm.Init&lt;0,_xlfn.XLOOKUP(MAX(0,_xlpm.X),Exp_Shift[[Number]:[Number]],Exp_Shift[[Rating]:[Rating]],0,0),AC74)))</f>
        <v>L</v>
      </c>
      <c r="AD97" t="str" cm="1">
        <f t="array" ref="AD97">_xlfn.LET(_xlpm.Fin,_xlfn.XLOOKUP(P97,Exp_Shift[[Rating]:[Rating]],Exp_Shift[[Number]:[Number]],0,0),_xlpm.Init,_xlfn.XLOOKUP(P74,Exp_Shift[[Rating]:[Rating]],Exp_Shift[[Number]:[Number]],0,0),_xlpm.X,_xlfn.XLOOKUP(AD74,Exp_Shift[[Rating]:[Rating]],Exp_Shift[[Number]:[Number]],0,0), IF(_xlpm.Fin-_xlpm.Init&gt;0, _xlfn.XLOOKUP(MIN(4,_xlpm.X+1),Exp_Shift[[Number]:[Number]],Exp_Shift[[Rating]:[Rating]],0,0),IF(_xlpm.Fin-_xlpm.Init&lt;0,_xlfn.XLOOKUP(MAX(0,_xlpm.X),Exp_Shift[[Number]:[Number]],Exp_Shift[[Rating]:[Rating]],0,0),AD74)))</f>
        <v>L</v>
      </c>
      <c r="AE97" s="27" t="str" cm="1">
        <f t="array" ref="AE97">_xlfn.LET(_xlpm.Fin,_xlfn.XLOOKUP(Q97,Exp_Shift[[Rating]:[Rating]],Exp_Shift[[Number]:[Number]],0,0),_xlpm.Init,_xlfn.XLOOKUP(Q74,Exp_Shift[[Rating]:[Rating]],Exp_Shift[[Number]:[Number]],0,0),_xlpm.X,_xlfn.XLOOKUP(AE74,Exp_Shift[[Rating]:[Rating]],Exp_Shift[[Number]:[Number]],0,0), IF(_xlpm.Fin-_xlpm.Init&gt;0, _xlfn.XLOOKUP(MIN(4,_xlpm.X+1),Exp_Shift[[Number]:[Number]],Exp_Shift[[Rating]:[Rating]],0,0),IF(_xlpm.Fin-_xlpm.Init&lt;0,_xlfn.XLOOKUP(MAX(0,_xlpm.X),Exp_Shift[[Number]:[Number]],Exp_Shift[[Rating]:[Rating]],0,0),AE74)))</f>
        <v>E</v>
      </c>
    </row>
    <row r="98" spans="8:31" ht="18" x14ac:dyDescent="0.35">
      <c r="H98" s="26">
        <v>41</v>
      </c>
      <c r="I98" s="332" t="s">
        <v>46</v>
      </c>
      <c r="J98" s="328" t="s">
        <v>79</v>
      </c>
      <c r="K98" s="23" t="str" cm="1">
        <f t="array" ref="K98">_xlfn.SWITCH(K75,"N/A","L","L","M","M","H","H","E","E","N/A")</f>
        <v>H</v>
      </c>
      <c r="L98" t="str" cm="1">
        <f t="array" ref="L98">_xlfn.SWITCH(L75,"N/A","L","L","M","M","H","H","E","E","N/A")</f>
        <v>E</v>
      </c>
      <c r="M98" t="str" cm="1">
        <f t="array" ref="M98">_xlfn.SWITCH(M75,"N/A","L","L","M","M","H","H","E","E","N/A")</f>
        <v>E</v>
      </c>
      <c r="N98" t="str" cm="1">
        <f t="array" ref="N98">_xlfn.SWITCH(N75,"N/A","L","L","M","M","H","H","E","E","N/A")</f>
        <v>M</v>
      </c>
      <c r="O98" t="str" cm="1">
        <f t="array" ref="O98">_xlfn.SWITCH(O75,"N/A","L","L","M","M","H","H","E","E","N/A")</f>
        <v>M</v>
      </c>
      <c r="P98" t="str" cm="1">
        <f t="array" ref="P98">_xlfn.SWITCH(P75,"N/A","L","L","M","M","H","H","E","E","N/A")</f>
        <v>M</v>
      </c>
      <c r="Q98" s="19" t="str" cm="1">
        <f t="array" ref="Q98">_xlfn.SWITCH(Q75,"N/A","L","L","M","M","H","H","E","E","N/A")</f>
        <v>H</v>
      </c>
      <c r="R98" s="23" t="str" cm="1">
        <f t="array" ref="R98">_xlfn.LET(_xlpm.Fin,_xlfn.XLOOKUP(K98,Exp_Shift[[Rating]:[Rating]],Exp_Shift[[Number]:[Number]],0,0),_xlpm.Init,_xlfn.XLOOKUP(K75,Exp_Shift[[Rating]:[Rating]],Exp_Shift[[Number]:[Number]],0,0),_xlpm.X,_xlfn.XLOOKUP(R75,Exp_Shift[[Rating]:[Rating]],Exp_Shift[[Number]:[Number]],0,0), IF(_xlpm.Fin-_xlpm.Init&gt;0, _xlfn.XLOOKUP(MIN(4,_xlpm.X+_xlpm.Fin-_xlpm.Init),Exp_Shift[[Number]:[Number]],Exp_Shift[[Rating]:[Rating]],0,0),IF(_xlpm.Fin-_xlpm.Init&lt;0,_xlfn.XLOOKUP(MAX(0,_xlpm.X-1),Exp_Shift[[Number]:[Number]],Exp_Shift[[Rating]:[Rating]],0,0),R75)))</f>
        <v>E</v>
      </c>
      <c r="S98" t="str" cm="1">
        <f t="array" ref="S98">_xlfn.LET(_xlpm.Fin,_xlfn.XLOOKUP(L98,Exp_Shift[[Rating]:[Rating]],Exp_Shift[[Number]:[Number]],0,0),_xlpm.Init,_xlfn.XLOOKUP(L75,Exp_Shift[[Rating]:[Rating]],Exp_Shift[[Number]:[Number]],0,0),_xlpm.X,_xlfn.XLOOKUP(S75,Exp_Shift[[Rating]:[Rating]],Exp_Shift[[Number]:[Number]],0,0), IF(_xlpm.Fin-_xlpm.Init&gt;0, _xlfn.XLOOKUP(MIN(4,_xlpm.X+_xlpm.Fin-_xlpm.Init),Exp_Shift[[Number]:[Number]],Exp_Shift[[Rating]:[Rating]],0,0),IF(_xlpm.Fin-_xlpm.Init&lt;0,_xlfn.XLOOKUP(MAX(0,_xlpm.X-1),Exp_Shift[[Number]:[Number]],Exp_Shift[[Rating]:[Rating]],0,0),S75)))</f>
        <v>E</v>
      </c>
      <c r="T98" t="str" cm="1">
        <f t="array" ref="T98">_xlfn.LET(_xlpm.Fin,_xlfn.XLOOKUP(M98,Exp_Shift[[Rating]:[Rating]],Exp_Shift[[Number]:[Number]],0,0),_xlpm.Init,_xlfn.XLOOKUP(M75,Exp_Shift[[Rating]:[Rating]],Exp_Shift[[Number]:[Number]],0,0),_xlpm.X,_xlfn.XLOOKUP(T75,Exp_Shift[[Rating]:[Rating]],Exp_Shift[[Number]:[Number]],0,0), IF(_xlpm.Fin-_xlpm.Init&gt;0, _xlfn.XLOOKUP(MIN(4,_xlpm.X+_xlpm.Fin-_xlpm.Init),Exp_Shift[[Number]:[Number]],Exp_Shift[[Rating]:[Rating]],0,0),IF(_xlpm.Fin-_xlpm.Init&lt;0,_xlfn.XLOOKUP(MAX(0,_xlpm.X-1),Exp_Shift[[Number]:[Number]],Exp_Shift[[Rating]:[Rating]],0,0),T75)))</f>
        <v>E</v>
      </c>
      <c r="U98" t="str" cm="1">
        <f t="array" ref="U98">_xlfn.LET(_xlpm.Fin,_xlfn.XLOOKUP(N98,Exp_Shift[[Rating]:[Rating]],Exp_Shift[[Number]:[Number]],0,0),_xlpm.Init,_xlfn.XLOOKUP(N75,Exp_Shift[[Rating]:[Rating]],Exp_Shift[[Number]:[Number]],0,0),_xlpm.X,_xlfn.XLOOKUP(U75,Exp_Shift[[Rating]:[Rating]],Exp_Shift[[Number]:[Number]],0,0), IF(_xlpm.Fin-_xlpm.Init&gt;0, _xlfn.XLOOKUP(MIN(4,_xlpm.X+_xlpm.Fin-_xlpm.Init),Exp_Shift[[Number]:[Number]],Exp_Shift[[Rating]:[Rating]],0,0),IF(_xlpm.Fin-_xlpm.Init&lt;0,_xlfn.XLOOKUP(MAX(0,_xlpm.X-1),Exp_Shift[[Number]:[Number]],Exp_Shift[[Rating]:[Rating]],0,0),U75)))</f>
        <v>M</v>
      </c>
      <c r="V98" t="str" cm="1">
        <f t="array" ref="V98">_xlfn.LET(_xlpm.Fin,_xlfn.XLOOKUP(O98,Exp_Shift[[Rating]:[Rating]],Exp_Shift[[Number]:[Number]],0,0),_xlpm.Init,_xlfn.XLOOKUP(O75,Exp_Shift[[Rating]:[Rating]],Exp_Shift[[Number]:[Number]],0,0),_xlpm.X,_xlfn.XLOOKUP(V75,Exp_Shift[[Rating]:[Rating]],Exp_Shift[[Number]:[Number]],0,0), IF(_xlpm.Fin-_xlpm.Init&gt;0, _xlfn.XLOOKUP(MIN(4,_xlpm.X+_xlpm.Fin-_xlpm.Init),Exp_Shift[[Number]:[Number]],Exp_Shift[[Rating]:[Rating]],0,0),IF(_xlpm.Fin-_xlpm.Init&lt;0,_xlfn.XLOOKUP(MAX(0,_xlpm.X-1),Exp_Shift[[Number]:[Number]],Exp_Shift[[Rating]:[Rating]],0,0),V75)))</f>
        <v>E</v>
      </c>
      <c r="W98" t="str" cm="1">
        <f t="array" ref="W98">_xlfn.LET(_xlpm.Fin,_xlfn.XLOOKUP(P98,Exp_Shift[[Rating]:[Rating]],Exp_Shift[[Number]:[Number]],0,0),_xlpm.Init,_xlfn.XLOOKUP(P75,Exp_Shift[[Rating]:[Rating]],Exp_Shift[[Number]:[Number]],0,0),_xlpm.X,_xlfn.XLOOKUP(W75,Exp_Shift[[Rating]:[Rating]],Exp_Shift[[Number]:[Number]],0,0), IF(_xlpm.Fin-_xlpm.Init&gt;0, _xlfn.XLOOKUP(MIN(4,_xlpm.X+_xlpm.Fin-_xlpm.Init),Exp_Shift[[Number]:[Number]],Exp_Shift[[Rating]:[Rating]],0,0),IF(_xlpm.Fin-_xlpm.Init&lt;0,_xlfn.XLOOKUP(MAX(0,_xlpm.X-1),Exp_Shift[[Number]:[Number]],Exp_Shift[[Rating]:[Rating]],0,0),W75)))</f>
        <v>E</v>
      </c>
      <c r="X98" s="19" t="str" cm="1">
        <f t="array" ref="X98">_xlfn.LET(_xlpm.Fin,_xlfn.XLOOKUP(Q98,Exp_Shift[[Rating]:[Rating]],Exp_Shift[[Number]:[Number]],0,0),_xlpm.Init,_xlfn.XLOOKUP(Q75,Exp_Shift[[Rating]:[Rating]],Exp_Shift[[Number]:[Number]],0,0),_xlpm.X,_xlfn.XLOOKUP(X75,Exp_Shift[[Rating]:[Rating]],Exp_Shift[[Number]:[Number]],0,0), IF(_xlpm.Fin-_xlpm.Init&gt;0, _xlfn.XLOOKUP(MIN(4,_xlpm.X+_xlpm.Fin-_xlpm.Init),Exp_Shift[[Number]:[Number]],Exp_Shift[[Rating]:[Rating]],0,0),IF(_xlpm.Fin-_xlpm.Init&lt;0,_xlfn.XLOOKUP(MAX(0,_xlpm.X-1),Exp_Shift[[Number]:[Number]],Exp_Shift[[Rating]:[Rating]],0,0),X75)))</f>
        <v>E</v>
      </c>
      <c r="Y98" s="23" t="str" cm="1">
        <f t="array" ref="Y98">_xlfn.LET(_xlpm.Fin,_xlfn.XLOOKUP(K98,Exp_Shift[[Rating]:[Rating]],Exp_Shift[[Number]:[Number]],0,0),_xlpm.Init,_xlfn.XLOOKUP(K75,Exp_Shift[[Rating]:[Rating]],Exp_Shift[[Number]:[Number]],0,0),_xlpm.X,_xlfn.XLOOKUP(Y75,Exp_Shift[[Rating]:[Rating]],Exp_Shift[[Number]:[Number]],0,0), IF(_xlpm.Fin-_xlpm.Init&gt;0, _xlfn.XLOOKUP(MIN(4,_xlpm.X+1),Exp_Shift[[Number]:[Number]],Exp_Shift[[Rating]:[Rating]],0,0),IF(_xlpm.Fin-_xlpm.Init&lt;0,_xlfn.XLOOKUP(MAX(0,_xlpm.X),Exp_Shift[[Number]:[Number]],Exp_Shift[[Rating]:[Rating]],0,0),Y75)))</f>
        <v>E</v>
      </c>
      <c r="Z98" t="str" cm="1">
        <f t="array" ref="Z98">_xlfn.LET(_xlpm.Fin,_xlfn.XLOOKUP(L98,Exp_Shift[[Rating]:[Rating]],Exp_Shift[[Number]:[Number]],0,0),_xlpm.Init,_xlfn.XLOOKUP(L75,Exp_Shift[[Rating]:[Rating]],Exp_Shift[[Number]:[Number]],0,0),_xlpm.X,_xlfn.XLOOKUP(Z75,Exp_Shift[[Rating]:[Rating]],Exp_Shift[[Number]:[Number]],0,0), IF(_xlpm.Fin-_xlpm.Init&gt;0, _xlfn.XLOOKUP(MIN(4,_xlpm.X+1),Exp_Shift[[Number]:[Number]],Exp_Shift[[Rating]:[Rating]],0,0),IF(_xlpm.Fin-_xlpm.Init&lt;0,_xlfn.XLOOKUP(MAX(0,_xlpm.X),Exp_Shift[[Number]:[Number]],Exp_Shift[[Rating]:[Rating]],0,0),Z75)))</f>
        <v>E</v>
      </c>
      <c r="AA98" t="str" cm="1">
        <f t="array" ref="AA98">_xlfn.LET(_xlpm.Fin,_xlfn.XLOOKUP(M98,Exp_Shift[[Rating]:[Rating]],Exp_Shift[[Number]:[Number]],0,0),_xlpm.Init,_xlfn.XLOOKUP(M75,Exp_Shift[[Rating]:[Rating]],Exp_Shift[[Number]:[Number]],0,0),_xlpm.X,_xlfn.XLOOKUP(AA75,Exp_Shift[[Rating]:[Rating]],Exp_Shift[[Number]:[Number]],0,0), IF(_xlpm.Fin-_xlpm.Init&gt;0, _xlfn.XLOOKUP(MIN(4,_xlpm.X+1),Exp_Shift[[Number]:[Number]],Exp_Shift[[Rating]:[Rating]],0,0),IF(_xlpm.Fin-_xlpm.Init&lt;0,_xlfn.XLOOKUP(MAX(0,_xlpm.X),Exp_Shift[[Number]:[Number]],Exp_Shift[[Rating]:[Rating]],0,0),AA75)))</f>
        <v>E</v>
      </c>
      <c r="AB98" t="str" cm="1">
        <f t="array" ref="AB98">_xlfn.LET(_xlpm.Fin,_xlfn.XLOOKUP(N98,Exp_Shift[[Rating]:[Rating]],Exp_Shift[[Number]:[Number]],0,0),_xlpm.Init,_xlfn.XLOOKUP(N75,Exp_Shift[[Rating]:[Rating]],Exp_Shift[[Number]:[Number]],0,0),_xlpm.X,_xlfn.XLOOKUP(AB75,Exp_Shift[[Rating]:[Rating]],Exp_Shift[[Number]:[Number]],0,0), IF(_xlpm.Fin-_xlpm.Init&gt;0, _xlfn.XLOOKUP(MIN(4,_xlpm.X+1),Exp_Shift[[Number]:[Number]],Exp_Shift[[Rating]:[Rating]],0,0),IF(_xlpm.Fin-_xlpm.Init&lt;0,_xlfn.XLOOKUP(MAX(0,_xlpm.X),Exp_Shift[[Number]:[Number]],Exp_Shift[[Rating]:[Rating]],0,0),AB75)))</f>
        <v>M</v>
      </c>
      <c r="AC98" t="str" cm="1">
        <f t="array" ref="AC98">_xlfn.LET(_xlpm.Fin,_xlfn.XLOOKUP(O98,Exp_Shift[[Rating]:[Rating]],Exp_Shift[[Number]:[Number]],0,0),_xlpm.Init,_xlfn.XLOOKUP(O75,Exp_Shift[[Rating]:[Rating]],Exp_Shift[[Number]:[Number]],0,0),_xlpm.X,_xlfn.XLOOKUP(AC75,Exp_Shift[[Rating]:[Rating]],Exp_Shift[[Number]:[Number]],0,0), IF(_xlpm.Fin-_xlpm.Init&gt;0, _xlfn.XLOOKUP(MIN(4,_xlpm.X+1),Exp_Shift[[Number]:[Number]],Exp_Shift[[Rating]:[Rating]],0,0),IF(_xlpm.Fin-_xlpm.Init&lt;0,_xlfn.XLOOKUP(MAX(0,_xlpm.X),Exp_Shift[[Number]:[Number]],Exp_Shift[[Rating]:[Rating]],0,0),AC75)))</f>
        <v>E</v>
      </c>
      <c r="AD98" t="str" cm="1">
        <f t="array" ref="AD98">_xlfn.LET(_xlpm.Fin,_xlfn.XLOOKUP(P98,Exp_Shift[[Rating]:[Rating]],Exp_Shift[[Number]:[Number]],0,0),_xlpm.Init,_xlfn.XLOOKUP(P75,Exp_Shift[[Rating]:[Rating]],Exp_Shift[[Number]:[Number]],0,0),_xlpm.X,_xlfn.XLOOKUP(AD75,Exp_Shift[[Rating]:[Rating]],Exp_Shift[[Number]:[Number]],0,0), IF(_xlpm.Fin-_xlpm.Init&gt;0, _xlfn.XLOOKUP(MIN(4,_xlpm.X+1),Exp_Shift[[Number]:[Number]],Exp_Shift[[Rating]:[Rating]],0,0),IF(_xlpm.Fin-_xlpm.Init&lt;0,_xlfn.XLOOKUP(MAX(0,_xlpm.X),Exp_Shift[[Number]:[Number]],Exp_Shift[[Rating]:[Rating]],0,0),AD75)))</f>
        <v>E</v>
      </c>
      <c r="AE98" s="27" t="str" cm="1">
        <f t="array" ref="AE98">_xlfn.LET(_xlpm.Fin,_xlfn.XLOOKUP(Q98,Exp_Shift[[Rating]:[Rating]],Exp_Shift[[Number]:[Number]],0,0),_xlpm.Init,_xlfn.XLOOKUP(Q75,Exp_Shift[[Rating]:[Rating]],Exp_Shift[[Number]:[Number]],0,0),_xlpm.X,_xlfn.XLOOKUP(AE75,Exp_Shift[[Rating]:[Rating]],Exp_Shift[[Number]:[Number]],0,0), IF(_xlpm.Fin-_xlpm.Init&gt;0, _xlfn.XLOOKUP(MIN(4,_xlpm.X+1),Exp_Shift[[Number]:[Number]],Exp_Shift[[Rating]:[Rating]],0,0),IF(_xlpm.Fin-_xlpm.Init&lt;0,_xlfn.XLOOKUP(MAX(0,_xlpm.X),Exp_Shift[[Number]:[Number]],Exp_Shift[[Rating]:[Rating]],0,0),AE75)))</f>
        <v>E</v>
      </c>
    </row>
    <row r="99" spans="8:31" ht="18" x14ac:dyDescent="0.35">
      <c r="H99" s="26">
        <v>42</v>
      </c>
      <c r="I99" s="332" t="s">
        <v>46</v>
      </c>
      <c r="J99" s="328" t="s">
        <v>443</v>
      </c>
      <c r="K99" s="23" t="str" cm="1">
        <f t="array" ref="K99">_xlfn.SWITCH(K76,"N/A","L","L","M","M","H","H","E","E","N/A")</f>
        <v>H</v>
      </c>
      <c r="L99" t="str" cm="1">
        <f t="array" ref="L99">_xlfn.SWITCH(L76,"N/A","L","L","M","M","H","H","E","E","N/A")</f>
        <v>E</v>
      </c>
      <c r="M99" t="str" cm="1">
        <f t="array" ref="M99">_xlfn.SWITCH(M76,"N/A","L","L","M","M","H","H","E","E","N/A")</f>
        <v>E</v>
      </c>
      <c r="N99" t="str" cm="1">
        <f t="array" ref="N99">_xlfn.SWITCH(N76,"N/A","L","L","M","M","H","H","E","E","N/A")</f>
        <v>M</v>
      </c>
      <c r="O99" t="str" cm="1">
        <f t="array" ref="O99">_xlfn.SWITCH(O76,"N/A","L","L","M","M","H","H","E","E","N/A")</f>
        <v>L</v>
      </c>
      <c r="P99" t="str" cm="1">
        <f t="array" ref="P99">_xlfn.SWITCH(P76,"N/A","L","L","M","M","H","H","E","E","N/A")</f>
        <v>L</v>
      </c>
      <c r="Q99" s="19" t="str" cm="1">
        <f t="array" ref="Q99">_xlfn.SWITCH(Q76,"N/A","L","L","M","M","H","H","E","E","N/A")</f>
        <v>H</v>
      </c>
      <c r="R99" s="23" t="str" cm="1">
        <f t="array" ref="R99">_xlfn.LET(_xlpm.Fin,_xlfn.XLOOKUP(K99,Exp_Shift[[Rating]:[Rating]],Exp_Shift[[Number]:[Number]],0,0),_xlpm.Init,_xlfn.XLOOKUP(K76,Exp_Shift[[Rating]:[Rating]],Exp_Shift[[Number]:[Number]],0,0),_xlpm.X,_xlfn.XLOOKUP(R76,Exp_Shift[[Rating]:[Rating]],Exp_Shift[[Number]:[Number]],0,0), IF(_xlpm.Fin-_xlpm.Init&gt;0, _xlfn.XLOOKUP(MIN(4,_xlpm.X+_xlpm.Fin-_xlpm.Init),Exp_Shift[[Number]:[Number]],Exp_Shift[[Rating]:[Rating]],0,0),IF(_xlpm.Fin-_xlpm.Init&lt;0,_xlfn.XLOOKUP(MAX(0,_xlpm.X-1),Exp_Shift[[Number]:[Number]],Exp_Shift[[Rating]:[Rating]],0,0),R76)))</f>
        <v>E</v>
      </c>
      <c r="S99" t="str" cm="1">
        <f t="array" ref="S99">_xlfn.LET(_xlpm.Fin,_xlfn.XLOOKUP(L99,Exp_Shift[[Rating]:[Rating]],Exp_Shift[[Number]:[Number]],0,0),_xlpm.Init,_xlfn.XLOOKUP(L76,Exp_Shift[[Rating]:[Rating]],Exp_Shift[[Number]:[Number]],0,0),_xlpm.X,_xlfn.XLOOKUP(S76,Exp_Shift[[Rating]:[Rating]],Exp_Shift[[Number]:[Number]],0,0), IF(_xlpm.Fin-_xlpm.Init&gt;0, _xlfn.XLOOKUP(MIN(4,_xlpm.X+_xlpm.Fin-_xlpm.Init),Exp_Shift[[Number]:[Number]],Exp_Shift[[Rating]:[Rating]],0,0),IF(_xlpm.Fin-_xlpm.Init&lt;0,_xlfn.XLOOKUP(MAX(0,_xlpm.X-1),Exp_Shift[[Number]:[Number]],Exp_Shift[[Rating]:[Rating]],0,0),S76)))</f>
        <v>E</v>
      </c>
      <c r="T99" t="str" cm="1">
        <f t="array" ref="T99">_xlfn.LET(_xlpm.Fin,_xlfn.XLOOKUP(M99,Exp_Shift[[Rating]:[Rating]],Exp_Shift[[Number]:[Number]],0,0),_xlpm.Init,_xlfn.XLOOKUP(M76,Exp_Shift[[Rating]:[Rating]],Exp_Shift[[Number]:[Number]],0,0),_xlpm.X,_xlfn.XLOOKUP(T76,Exp_Shift[[Rating]:[Rating]],Exp_Shift[[Number]:[Number]],0,0), IF(_xlpm.Fin-_xlpm.Init&gt;0, _xlfn.XLOOKUP(MIN(4,_xlpm.X+_xlpm.Fin-_xlpm.Init),Exp_Shift[[Number]:[Number]],Exp_Shift[[Rating]:[Rating]],0,0),IF(_xlpm.Fin-_xlpm.Init&lt;0,_xlfn.XLOOKUP(MAX(0,_xlpm.X-1),Exp_Shift[[Number]:[Number]],Exp_Shift[[Rating]:[Rating]],0,0),T76)))</f>
        <v>E</v>
      </c>
      <c r="U99" t="str" cm="1">
        <f t="array" ref="U99">_xlfn.LET(_xlpm.Fin,_xlfn.XLOOKUP(N99,Exp_Shift[[Rating]:[Rating]],Exp_Shift[[Number]:[Number]],0,0),_xlpm.Init,_xlfn.XLOOKUP(N76,Exp_Shift[[Rating]:[Rating]],Exp_Shift[[Number]:[Number]],0,0),_xlpm.X,_xlfn.XLOOKUP(U76,Exp_Shift[[Rating]:[Rating]],Exp_Shift[[Number]:[Number]],0,0), IF(_xlpm.Fin-_xlpm.Init&gt;0, _xlfn.XLOOKUP(MIN(4,_xlpm.X+_xlpm.Fin-_xlpm.Init),Exp_Shift[[Number]:[Number]],Exp_Shift[[Rating]:[Rating]],0,0),IF(_xlpm.Fin-_xlpm.Init&lt;0,_xlfn.XLOOKUP(MAX(0,_xlpm.X-1),Exp_Shift[[Number]:[Number]],Exp_Shift[[Rating]:[Rating]],0,0),U76)))</f>
        <v>H</v>
      </c>
      <c r="V99" t="str" cm="1">
        <f t="array" ref="V99">_xlfn.LET(_xlpm.Fin,_xlfn.XLOOKUP(O99,Exp_Shift[[Rating]:[Rating]],Exp_Shift[[Number]:[Number]],0,0),_xlpm.Init,_xlfn.XLOOKUP(O76,Exp_Shift[[Rating]:[Rating]],Exp_Shift[[Number]:[Number]],0,0),_xlpm.X,_xlfn.XLOOKUP(V76,Exp_Shift[[Rating]:[Rating]],Exp_Shift[[Number]:[Number]],0,0), IF(_xlpm.Fin-_xlpm.Init&gt;0, _xlfn.XLOOKUP(MIN(4,_xlpm.X+_xlpm.Fin-_xlpm.Init),Exp_Shift[[Number]:[Number]],Exp_Shift[[Rating]:[Rating]],0,0),IF(_xlpm.Fin-_xlpm.Init&lt;0,_xlfn.XLOOKUP(MAX(0,_xlpm.X-1),Exp_Shift[[Number]:[Number]],Exp_Shift[[Rating]:[Rating]],0,0),V76)))</f>
        <v>L</v>
      </c>
      <c r="W99" t="str" cm="1">
        <f t="array" ref="W99">_xlfn.LET(_xlpm.Fin,_xlfn.XLOOKUP(P99,Exp_Shift[[Rating]:[Rating]],Exp_Shift[[Number]:[Number]],0,0),_xlpm.Init,_xlfn.XLOOKUP(P76,Exp_Shift[[Rating]:[Rating]],Exp_Shift[[Number]:[Number]],0,0),_xlpm.X,_xlfn.XLOOKUP(W76,Exp_Shift[[Rating]:[Rating]],Exp_Shift[[Number]:[Number]],0,0), IF(_xlpm.Fin-_xlpm.Init&gt;0, _xlfn.XLOOKUP(MIN(4,_xlpm.X+_xlpm.Fin-_xlpm.Init),Exp_Shift[[Number]:[Number]],Exp_Shift[[Rating]:[Rating]],0,0),IF(_xlpm.Fin-_xlpm.Init&lt;0,_xlfn.XLOOKUP(MAX(0,_xlpm.X-1),Exp_Shift[[Number]:[Number]],Exp_Shift[[Rating]:[Rating]],0,0),W76)))</f>
        <v>L</v>
      </c>
      <c r="X99" s="19" t="str" cm="1">
        <f t="array" ref="X99">_xlfn.LET(_xlpm.Fin,_xlfn.XLOOKUP(Q99,Exp_Shift[[Rating]:[Rating]],Exp_Shift[[Number]:[Number]],0,0),_xlpm.Init,_xlfn.XLOOKUP(Q76,Exp_Shift[[Rating]:[Rating]],Exp_Shift[[Number]:[Number]],0,0),_xlpm.X,_xlfn.XLOOKUP(X76,Exp_Shift[[Rating]:[Rating]],Exp_Shift[[Number]:[Number]],0,0), IF(_xlpm.Fin-_xlpm.Init&gt;0, _xlfn.XLOOKUP(MIN(4,_xlpm.X+_xlpm.Fin-_xlpm.Init),Exp_Shift[[Number]:[Number]],Exp_Shift[[Rating]:[Rating]],0,0),IF(_xlpm.Fin-_xlpm.Init&lt;0,_xlfn.XLOOKUP(MAX(0,_xlpm.X-1),Exp_Shift[[Number]:[Number]],Exp_Shift[[Rating]:[Rating]],0,0),X76)))</f>
        <v>H</v>
      </c>
      <c r="Y99" s="23" t="str" cm="1">
        <f t="array" ref="Y99">_xlfn.LET(_xlpm.Fin,_xlfn.XLOOKUP(K99,Exp_Shift[[Rating]:[Rating]],Exp_Shift[[Number]:[Number]],0,0),_xlpm.Init,_xlfn.XLOOKUP(K76,Exp_Shift[[Rating]:[Rating]],Exp_Shift[[Number]:[Number]],0,0),_xlpm.X,_xlfn.XLOOKUP(Y76,Exp_Shift[[Rating]:[Rating]],Exp_Shift[[Number]:[Number]],0,0), IF(_xlpm.Fin-_xlpm.Init&gt;0, _xlfn.XLOOKUP(MIN(4,_xlpm.X+1),Exp_Shift[[Number]:[Number]],Exp_Shift[[Rating]:[Rating]],0,0),IF(_xlpm.Fin-_xlpm.Init&lt;0,_xlfn.XLOOKUP(MAX(0,_xlpm.X),Exp_Shift[[Number]:[Number]],Exp_Shift[[Rating]:[Rating]],0,0),Y76)))</f>
        <v>E</v>
      </c>
      <c r="Z99" t="str" cm="1">
        <f t="array" ref="Z99">_xlfn.LET(_xlpm.Fin,_xlfn.XLOOKUP(L99,Exp_Shift[[Rating]:[Rating]],Exp_Shift[[Number]:[Number]],0,0),_xlpm.Init,_xlfn.XLOOKUP(L76,Exp_Shift[[Rating]:[Rating]],Exp_Shift[[Number]:[Number]],0,0),_xlpm.X,_xlfn.XLOOKUP(Z76,Exp_Shift[[Rating]:[Rating]],Exp_Shift[[Number]:[Number]],0,0), IF(_xlpm.Fin-_xlpm.Init&gt;0, _xlfn.XLOOKUP(MIN(4,_xlpm.X+1),Exp_Shift[[Number]:[Number]],Exp_Shift[[Rating]:[Rating]],0,0),IF(_xlpm.Fin-_xlpm.Init&lt;0,_xlfn.XLOOKUP(MAX(0,_xlpm.X),Exp_Shift[[Number]:[Number]],Exp_Shift[[Rating]:[Rating]],0,0),Z76)))</f>
        <v>E</v>
      </c>
      <c r="AA99" t="str" cm="1">
        <f t="array" ref="AA99">_xlfn.LET(_xlpm.Fin,_xlfn.XLOOKUP(M99,Exp_Shift[[Rating]:[Rating]],Exp_Shift[[Number]:[Number]],0,0),_xlpm.Init,_xlfn.XLOOKUP(M76,Exp_Shift[[Rating]:[Rating]],Exp_Shift[[Number]:[Number]],0,0),_xlpm.X,_xlfn.XLOOKUP(AA76,Exp_Shift[[Rating]:[Rating]],Exp_Shift[[Number]:[Number]],0,0), IF(_xlpm.Fin-_xlpm.Init&gt;0, _xlfn.XLOOKUP(MIN(4,_xlpm.X+1),Exp_Shift[[Number]:[Number]],Exp_Shift[[Rating]:[Rating]],0,0),IF(_xlpm.Fin-_xlpm.Init&lt;0,_xlfn.XLOOKUP(MAX(0,_xlpm.X),Exp_Shift[[Number]:[Number]],Exp_Shift[[Rating]:[Rating]],0,0),AA76)))</f>
        <v>E</v>
      </c>
      <c r="AB99" t="str" cm="1">
        <f t="array" ref="AB99">_xlfn.LET(_xlpm.Fin,_xlfn.XLOOKUP(N99,Exp_Shift[[Rating]:[Rating]],Exp_Shift[[Number]:[Number]],0,0),_xlpm.Init,_xlfn.XLOOKUP(N76,Exp_Shift[[Rating]:[Rating]],Exp_Shift[[Number]:[Number]],0,0),_xlpm.X,_xlfn.XLOOKUP(AB76,Exp_Shift[[Rating]:[Rating]],Exp_Shift[[Number]:[Number]],0,0), IF(_xlpm.Fin-_xlpm.Init&gt;0, _xlfn.XLOOKUP(MIN(4,_xlpm.X+1),Exp_Shift[[Number]:[Number]],Exp_Shift[[Rating]:[Rating]],0,0),IF(_xlpm.Fin-_xlpm.Init&lt;0,_xlfn.XLOOKUP(MAX(0,_xlpm.X),Exp_Shift[[Number]:[Number]],Exp_Shift[[Rating]:[Rating]],0,0),AB76)))</f>
        <v>E</v>
      </c>
      <c r="AC99" t="str" cm="1">
        <f t="array" ref="AC99">_xlfn.LET(_xlpm.Fin,_xlfn.XLOOKUP(O99,Exp_Shift[[Rating]:[Rating]],Exp_Shift[[Number]:[Number]],0,0),_xlpm.Init,_xlfn.XLOOKUP(O76,Exp_Shift[[Rating]:[Rating]],Exp_Shift[[Number]:[Number]],0,0),_xlpm.X,_xlfn.XLOOKUP(AC76,Exp_Shift[[Rating]:[Rating]],Exp_Shift[[Number]:[Number]],0,0), IF(_xlpm.Fin-_xlpm.Init&gt;0, _xlfn.XLOOKUP(MIN(4,_xlpm.X+1),Exp_Shift[[Number]:[Number]],Exp_Shift[[Rating]:[Rating]],0,0),IF(_xlpm.Fin-_xlpm.Init&lt;0,_xlfn.XLOOKUP(MAX(0,_xlpm.X),Exp_Shift[[Number]:[Number]],Exp_Shift[[Rating]:[Rating]],0,0),AC76)))</f>
        <v>L</v>
      </c>
      <c r="AD99" t="str" cm="1">
        <f t="array" ref="AD99">_xlfn.LET(_xlpm.Fin,_xlfn.XLOOKUP(P99,Exp_Shift[[Rating]:[Rating]],Exp_Shift[[Number]:[Number]],0,0),_xlpm.Init,_xlfn.XLOOKUP(P76,Exp_Shift[[Rating]:[Rating]],Exp_Shift[[Number]:[Number]],0,0),_xlpm.X,_xlfn.XLOOKUP(AD76,Exp_Shift[[Rating]:[Rating]],Exp_Shift[[Number]:[Number]],0,0), IF(_xlpm.Fin-_xlpm.Init&gt;0, _xlfn.XLOOKUP(MIN(4,_xlpm.X+1),Exp_Shift[[Number]:[Number]],Exp_Shift[[Rating]:[Rating]],0,0),IF(_xlpm.Fin-_xlpm.Init&lt;0,_xlfn.XLOOKUP(MAX(0,_xlpm.X),Exp_Shift[[Number]:[Number]],Exp_Shift[[Rating]:[Rating]],0,0),AD76)))</f>
        <v>L</v>
      </c>
      <c r="AE99" s="27" t="str" cm="1">
        <f t="array" ref="AE99">_xlfn.LET(_xlpm.Fin,_xlfn.XLOOKUP(Q99,Exp_Shift[[Rating]:[Rating]],Exp_Shift[[Number]:[Number]],0,0),_xlpm.Init,_xlfn.XLOOKUP(Q76,Exp_Shift[[Rating]:[Rating]],Exp_Shift[[Number]:[Number]],0,0),_xlpm.X,_xlfn.XLOOKUP(AE76,Exp_Shift[[Rating]:[Rating]],Exp_Shift[[Number]:[Number]],0,0), IF(_xlpm.Fin-_xlpm.Init&gt;0, _xlfn.XLOOKUP(MIN(4,_xlpm.X+1),Exp_Shift[[Number]:[Number]],Exp_Shift[[Rating]:[Rating]],0,0),IF(_xlpm.Fin-_xlpm.Init&lt;0,_xlfn.XLOOKUP(MAX(0,_xlpm.X),Exp_Shift[[Number]:[Number]],Exp_Shift[[Rating]:[Rating]],0,0),AE76)))</f>
        <v>H</v>
      </c>
    </row>
    <row r="100" spans="8:31" ht="18" x14ac:dyDescent="0.35">
      <c r="H100" s="26">
        <v>43</v>
      </c>
      <c r="I100" s="332" t="s">
        <v>46</v>
      </c>
      <c r="J100" s="328" t="s">
        <v>222</v>
      </c>
      <c r="K100" s="23" t="str" cm="1">
        <f t="array" ref="K100">_xlfn.SWITCH(K77,"N/A","L","L","M","M","H","H","E","E","N/A")</f>
        <v>H</v>
      </c>
      <c r="L100" t="str" cm="1">
        <f t="array" ref="L100">_xlfn.SWITCH(L77,"N/A","L","L","M","M","H","H","E","E","N/A")</f>
        <v>E</v>
      </c>
      <c r="M100" t="str" cm="1">
        <f t="array" ref="M100">_xlfn.SWITCH(M77,"N/A","L","L","M","M","H","H","E","E","N/A")</f>
        <v>E</v>
      </c>
      <c r="N100" t="str" cm="1">
        <f t="array" ref="N100">_xlfn.SWITCH(N77,"N/A","L","L","M","M","H","H","E","E","N/A")</f>
        <v>M</v>
      </c>
      <c r="O100" t="str" cm="1">
        <f t="array" ref="O100">_xlfn.SWITCH(O77,"N/A","L","L","M","M","H","H","E","E","N/A")</f>
        <v>M</v>
      </c>
      <c r="P100" t="str" cm="1">
        <f t="array" ref="P100">_xlfn.SWITCH(P77,"N/A","L","L","M","M","H","H","E","E","N/A")</f>
        <v>M</v>
      </c>
      <c r="Q100" s="19" t="str" cm="1">
        <f t="array" ref="Q100">_xlfn.SWITCH(Q77,"N/A","L","L","M","M","H","H","E","E","N/A")</f>
        <v>H</v>
      </c>
      <c r="R100" s="23" t="str" cm="1">
        <f t="array" ref="R100">_xlfn.LET(_xlpm.Fin,_xlfn.XLOOKUP(K100,Exp_Shift[[Rating]:[Rating]],Exp_Shift[[Number]:[Number]],0,0),_xlpm.Init,_xlfn.XLOOKUP(K77,Exp_Shift[[Rating]:[Rating]],Exp_Shift[[Number]:[Number]],0,0),_xlpm.X,_xlfn.XLOOKUP(R77,Exp_Shift[[Rating]:[Rating]],Exp_Shift[[Number]:[Number]],0,0), IF(_xlpm.Fin-_xlpm.Init&gt;0, _xlfn.XLOOKUP(MIN(4,_xlpm.X+_xlpm.Fin-_xlpm.Init),Exp_Shift[[Number]:[Number]],Exp_Shift[[Rating]:[Rating]],0,0),IF(_xlpm.Fin-_xlpm.Init&lt;0,_xlfn.XLOOKUP(MAX(0,_xlpm.X-1),Exp_Shift[[Number]:[Number]],Exp_Shift[[Rating]:[Rating]],0,0),R77)))</f>
        <v>H</v>
      </c>
      <c r="S100" t="str" cm="1">
        <f t="array" ref="S100">_xlfn.LET(_xlpm.Fin,_xlfn.XLOOKUP(L100,Exp_Shift[[Rating]:[Rating]],Exp_Shift[[Number]:[Number]],0,0),_xlpm.Init,_xlfn.XLOOKUP(L77,Exp_Shift[[Rating]:[Rating]],Exp_Shift[[Number]:[Number]],0,0),_xlpm.X,_xlfn.XLOOKUP(S77,Exp_Shift[[Rating]:[Rating]],Exp_Shift[[Number]:[Number]],0,0), IF(_xlpm.Fin-_xlpm.Init&gt;0, _xlfn.XLOOKUP(MIN(4,_xlpm.X+_xlpm.Fin-_xlpm.Init),Exp_Shift[[Number]:[Number]],Exp_Shift[[Rating]:[Rating]],0,0),IF(_xlpm.Fin-_xlpm.Init&lt;0,_xlfn.XLOOKUP(MAX(0,_xlpm.X-1),Exp_Shift[[Number]:[Number]],Exp_Shift[[Rating]:[Rating]],0,0),S77)))</f>
        <v>E</v>
      </c>
      <c r="T100" t="str" cm="1">
        <f t="array" ref="T100">_xlfn.LET(_xlpm.Fin,_xlfn.XLOOKUP(M100,Exp_Shift[[Rating]:[Rating]],Exp_Shift[[Number]:[Number]],0,0),_xlpm.Init,_xlfn.XLOOKUP(M77,Exp_Shift[[Rating]:[Rating]],Exp_Shift[[Number]:[Number]],0,0),_xlpm.X,_xlfn.XLOOKUP(T77,Exp_Shift[[Rating]:[Rating]],Exp_Shift[[Number]:[Number]],0,0), IF(_xlpm.Fin-_xlpm.Init&gt;0, _xlfn.XLOOKUP(MIN(4,_xlpm.X+_xlpm.Fin-_xlpm.Init),Exp_Shift[[Number]:[Number]],Exp_Shift[[Rating]:[Rating]],0,0),IF(_xlpm.Fin-_xlpm.Init&lt;0,_xlfn.XLOOKUP(MAX(0,_xlpm.X-1),Exp_Shift[[Number]:[Number]],Exp_Shift[[Rating]:[Rating]],0,0),T77)))</f>
        <v>E</v>
      </c>
      <c r="U100" t="str" cm="1">
        <f t="array" ref="U100">_xlfn.LET(_xlpm.Fin,_xlfn.XLOOKUP(N100,Exp_Shift[[Rating]:[Rating]],Exp_Shift[[Number]:[Number]],0,0),_xlpm.Init,_xlfn.XLOOKUP(N77,Exp_Shift[[Rating]:[Rating]],Exp_Shift[[Number]:[Number]],0,0),_xlpm.X,_xlfn.XLOOKUP(U77,Exp_Shift[[Rating]:[Rating]],Exp_Shift[[Number]:[Number]],0,0), IF(_xlpm.Fin-_xlpm.Init&gt;0, _xlfn.XLOOKUP(MIN(4,_xlpm.X+_xlpm.Fin-_xlpm.Init),Exp_Shift[[Number]:[Number]],Exp_Shift[[Rating]:[Rating]],0,0),IF(_xlpm.Fin-_xlpm.Init&lt;0,_xlfn.XLOOKUP(MAX(0,_xlpm.X-1),Exp_Shift[[Number]:[Number]],Exp_Shift[[Rating]:[Rating]],0,0),U77)))</f>
        <v>M</v>
      </c>
      <c r="V100" t="str" cm="1">
        <f t="array" ref="V100">_xlfn.LET(_xlpm.Fin,_xlfn.XLOOKUP(O100,Exp_Shift[[Rating]:[Rating]],Exp_Shift[[Number]:[Number]],0,0),_xlpm.Init,_xlfn.XLOOKUP(O77,Exp_Shift[[Rating]:[Rating]],Exp_Shift[[Number]:[Number]],0,0),_xlpm.X,_xlfn.XLOOKUP(V77,Exp_Shift[[Rating]:[Rating]],Exp_Shift[[Number]:[Number]],0,0), IF(_xlpm.Fin-_xlpm.Init&gt;0, _xlfn.XLOOKUP(MIN(4,_xlpm.X+_xlpm.Fin-_xlpm.Init),Exp_Shift[[Number]:[Number]],Exp_Shift[[Rating]:[Rating]],0,0),IF(_xlpm.Fin-_xlpm.Init&lt;0,_xlfn.XLOOKUP(MAX(0,_xlpm.X-1),Exp_Shift[[Number]:[Number]],Exp_Shift[[Rating]:[Rating]],0,0),V77)))</f>
        <v>H</v>
      </c>
      <c r="W100" t="str" cm="1">
        <f t="array" ref="W100">_xlfn.LET(_xlpm.Fin,_xlfn.XLOOKUP(P100,Exp_Shift[[Rating]:[Rating]],Exp_Shift[[Number]:[Number]],0,0),_xlpm.Init,_xlfn.XLOOKUP(P77,Exp_Shift[[Rating]:[Rating]],Exp_Shift[[Number]:[Number]],0,0),_xlpm.X,_xlfn.XLOOKUP(W77,Exp_Shift[[Rating]:[Rating]],Exp_Shift[[Number]:[Number]],0,0), IF(_xlpm.Fin-_xlpm.Init&gt;0, _xlfn.XLOOKUP(MIN(4,_xlpm.X+_xlpm.Fin-_xlpm.Init),Exp_Shift[[Number]:[Number]],Exp_Shift[[Rating]:[Rating]],0,0),IF(_xlpm.Fin-_xlpm.Init&lt;0,_xlfn.XLOOKUP(MAX(0,_xlpm.X-1),Exp_Shift[[Number]:[Number]],Exp_Shift[[Rating]:[Rating]],0,0),W77)))</f>
        <v>M</v>
      </c>
      <c r="X100" s="19" t="str" cm="1">
        <f t="array" ref="X100">_xlfn.LET(_xlpm.Fin,_xlfn.XLOOKUP(Q100,Exp_Shift[[Rating]:[Rating]],Exp_Shift[[Number]:[Number]],0,0),_xlpm.Init,_xlfn.XLOOKUP(Q77,Exp_Shift[[Rating]:[Rating]],Exp_Shift[[Number]:[Number]],0,0),_xlpm.X,_xlfn.XLOOKUP(X77,Exp_Shift[[Rating]:[Rating]],Exp_Shift[[Number]:[Number]],0,0), IF(_xlpm.Fin-_xlpm.Init&gt;0, _xlfn.XLOOKUP(MIN(4,_xlpm.X+_xlpm.Fin-_xlpm.Init),Exp_Shift[[Number]:[Number]],Exp_Shift[[Rating]:[Rating]],0,0),IF(_xlpm.Fin-_xlpm.Init&lt;0,_xlfn.XLOOKUP(MAX(0,_xlpm.X-1),Exp_Shift[[Number]:[Number]],Exp_Shift[[Rating]:[Rating]],0,0),X77)))</f>
        <v>H</v>
      </c>
      <c r="Y100" s="23" t="str" cm="1">
        <f t="array" ref="Y100">_xlfn.LET(_xlpm.Fin,_xlfn.XLOOKUP(K100,Exp_Shift[[Rating]:[Rating]],Exp_Shift[[Number]:[Number]],0,0),_xlpm.Init,_xlfn.XLOOKUP(K77,Exp_Shift[[Rating]:[Rating]],Exp_Shift[[Number]:[Number]],0,0),_xlpm.X,_xlfn.XLOOKUP(Y77,Exp_Shift[[Rating]:[Rating]],Exp_Shift[[Number]:[Number]],0,0), IF(_xlpm.Fin-_xlpm.Init&gt;0, _xlfn.XLOOKUP(MIN(4,_xlpm.X+1),Exp_Shift[[Number]:[Number]],Exp_Shift[[Rating]:[Rating]],0,0),IF(_xlpm.Fin-_xlpm.Init&lt;0,_xlfn.XLOOKUP(MAX(0,_xlpm.X),Exp_Shift[[Number]:[Number]],Exp_Shift[[Rating]:[Rating]],0,0),Y77)))</f>
        <v>H</v>
      </c>
      <c r="Z100" t="str" cm="1">
        <f t="array" ref="Z100">_xlfn.LET(_xlpm.Fin,_xlfn.XLOOKUP(L100,Exp_Shift[[Rating]:[Rating]],Exp_Shift[[Number]:[Number]],0,0),_xlpm.Init,_xlfn.XLOOKUP(L77,Exp_Shift[[Rating]:[Rating]],Exp_Shift[[Number]:[Number]],0,0),_xlpm.X,_xlfn.XLOOKUP(Z77,Exp_Shift[[Rating]:[Rating]],Exp_Shift[[Number]:[Number]],0,0), IF(_xlpm.Fin-_xlpm.Init&gt;0, _xlfn.XLOOKUP(MIN(4,_xlpm.X+1),Exp_Shift[[Number]:[Number]],Exp_Shift[[Rating]:[Rating]],0,0),IF(_xlpm.Fin-_xlpm.Init&lt;0,_xlfn.XLOOKUP(MAX(0,_xlpm.X),Exp_Shift[[Number]:[Number]],Exp_Shift[[Rating]:[Rating]],0,0),Z77)))</f>
        <v>E</v>
      </c>
      <c r="AA100" t="str" cm="1">
        <f t="array" ref="AA100">_xlfn.LET(_xlpm.Fin,_xlfn.XLOOKUP(M100,Exp_Shift[[Rating]:[Rating]],Exp_Shift[[Number]:[Number]],0,0),_xlpm.Init,_xlfn.XLOOKUP(M77,Exp_Shift[[Rating]:[Rating]],Exp_Shift[[Number]:[Number]],0,0),_xlpm.X,_xlfn.XLOOKUP(AA77,Exp_Shift[[Rating]:[Rating]],Exp_Shift[[Number]:[Number]],0,0), IF(_xlpm.Fin-_xlpm.Init&gt;0, _xlfn.XLOOKUP(MIN(4,_xlpm.X+1),Exp_Shift[[Number]:[Number]],Exp_Shift[[Rating]:[Rating]],0,0),IF(_xlpm.Fin-_xlpm.Init&lt;0,_xlfn.XLOOKUP(MAX(0,_xlpm.X),Exp_Shift[[Number]:[Number]],Exp_Shift[[Rating]:[Rating]],0,0),AA77)))</f>
        <v>E</v>
      </c>
      <c r="AB100" t="str" cm="1">
        <f t="array" ref="AB100">_xlfn.LET(_xlpm.Fin,_xlfn.XLOOKUP(N100,Exp_Shift[[Rating]:[Rating]],Exp_Shift[[Number]:[Number]],0,0),_xlpm.Init,_xlfn.XLOOKUP(N77,Exp_Shift[[Rating]:[Rating]],Exp_Shift[[Number]:[Number]],0,0),_xlpm.X,_xlfn.XLOOKUP(AB77,Exp_Shift[[Rating]:[Rating]],Exp_Shift[[Number]:[Number]],0,0), IF(_xlpm.Fin-_xlpm.Init&gt;0, _xlfn.XLOOKUP(MIN(4,_xlpm.X+1),Exp_Shift[[Number]:[Number]],Exp_Shift[[Rating]:[Rating]],0,0),IF(_xlpm.Fin-_xlpm.Init&lt;0,_xlfn.XLOOKUP(MAX(0,_xlpm.X),Exp_Shift[[Number]:[Number]],Exp_Shift[[Rating]:[Rating]],0,0),AB77)))</f>
        <v>M</v>
      </c>
      <c r="AC100" t="str" cm="1">
        <f t="array" ref="AC100">_xlfn.LET(_xlpm.Fin,_xlfn.XLOOKUP(O100,Exp_Shift[[Rating]:[Rating]],Exp_Shift[[Number]:[Number]],0,0),_xlpm.Init,_xlfn.XLOOKUP(O77,Exp_Shift[[Rating]:[Rating]],Exp_Shift[[Number]:[Number]],0,0),_xlpm.X,_xlfn.XLOOKUP(AC77,Exp_Shift[[Rating]:[Rating]],Exp_Shift[[Number]:[Number]],0,0), IF(_xlpm.Fin-_xlpm.Init&gt;0, _xlfn.XLOOKUP(MIN(4,_xlpm.X+1),Exp_Shift[[Number]:[Number]],Exp_Shift[[Rating]:[Rating]],0,0),IF(_xlpm.Fin-_xlpm.Init&lt;0,_xlfn.XLOOKUP(MAX(0,_xlpm.X),Exp_Shift[[Number]:[Number]],Exp_Shift[[Rating]:[Rating]],0,0),AC77)))</f>
        <v>H</v>
      </c>
      <c r="AD100" t="str" cm="1">
        <f t="array" ref="AD100">_xlfn.LET(_xlpm.Fin,_xlfn.XLOOKUP(P100,Exp_Shift[[Rating]:[Rating]],Exp_Shift[[Number]:[Number]],0,0),_xlpm.Init,_xlfn.XLOOKUP(P77,Exp_Shift[[Rating]:[Rating]],Exp_Shift[[Number]:[Number]],0,0),_xlpm.X,_xlfn.XLOOKUP(AD77,Exp_Shift[[Rating]:[Rating]],Exp_Shift[[Number]:[Number]],0,0), IF(_xlpm.Fin-_xlpm.Init&gt;0, _xlfn.XLOOKUP(MIN(4,_xlpm.X+1),Exp_Shift[[Number]:[Number]],Exp_Shift[[Rating]:[Rating]],0,0),IF(_xlpm.Fin-_xlpm.Init&lt;0,_xlfn.XLOOKUP(MAX(0,_xlpm.X),Exp_Shift[[Number]:[Number]],Exp_Shift[[Rating]:[Rating]],0,0),AD77)))</f>
        <v>H</v>
      </c>
      <c r="AE100" s="27" t="str" cm="1">
        <f t="array" ref="AE100">_xlfn.LET(_xlpm.Fin,_xlfn.XLOOKUP(Q100,Exp_Shift[[Rating]:[Rating]],Exp_Shift[[Number]:[Number]],0,0),_xlpm.Init,_xlfn.XLOOKUP(Q77,Exp_Shift[[Rating]:[Rating]],Exp_Shift[[Number]:[Number]],0,0),_xlpm.X,_xlfn.XLOOKUP(AE77,Exp_Shift[[Rating]:[Rating]],Exp_Shift[[Number]:[Number]],0,0), IF(_xlpm.Fin-_xlpm.Init&gt;0, _xlfn.XLOOKUP(MIN(4,_xlpm.X+1),Exp_Shift[[Number]:[Number]],Exp_Shift[[Rating]:[Rating]],0,0),IF(_xlpm.Fin-_xlpm.Init&lt;0,_xlfn.XLOOKUP(MAX(0,_xlpm.X),Exp_Shift[[Number]:[Number]],Exp_Shift[[Rating]:[Rating]],0,0),AE77)))</f>
        <v>H</v>
      </c>
    </row>
    <row r="101" spans="8:31" ht="18" x14ac:dyDescent="0.35">
      <c r="H101" s="26">
        <v>44</v>
      </c>
      <c r="I101" s="332" t="s">
        <v>46</v>
      </c>
      <c r="J101" s="328" t="s">
        <v>221</v>
      </c>
      <c r="K101" s="23" t="str" cm="1">
        <f t="array" ref="K101">_xlfn.SWITCH(K78,"N/A","L","L","M","M","H","H","E","E","N/A")</f>
        <v>H</v>
      </c>
      <c r="L101" t="str" cm="1">
        <f t="array" ref="L101">_xlfn.SWITCH(L78,"N/A","L","L","M","M","H","H","E","E","N/A")</f>
        <v>M</v>
      </c>
      <c r="M101" t="str" cm="1">
        <f t="array" ref="M101">_xlfn.SWITCH(M78,"N/A","L","L","M","M","H","H","E","E","N/A")</f>
        <v>H</v>
      </c>
      <c r="N101" t="str" cm="1">
        <f t="array" ref="N101">_xlfn.SWITCH(N78,"N/A","L","L","M","M","H","H","E","E","N/A")</f>
        <v>H</v>
      </c>
      <c r="O101" t="str" cm="1">
        <f t="array" ref="O101">_xlfn.SWITCH(O78,"N/A","L","L","M","M","H","H","E","E","N/A")</f>
        <v>L</v>
      </c>
      <c r="P101" t="str" cm="1">
        <f t="array" ref="P101">_xlfn.SWITCH(P78,"N/A","L","L","M","M","H","H","E","E","N/A")</f>
        <v>L</v>
      </c>
      <c r="Q101" s="19" t="str" cm="1">
        <f t="array" ref="Q101">_xlfn.SWITCH(Q78,"N/A","L","L","M","M","H","H","E","E","N/A")</f>
        <v>H</v>
      </c>
      <c r="R101" s="23" t="str" cm="1">
        <f t="array" ref="R101">_xlfn.LET(_xlpm.Fin,_xlfn.XLOOKUP(K101,Exp_Shift[[Rating]:[Rating]],Exp_Shift[[Number]:[Number]],0,0),_xlpm.Init,_xlfn.XLOOKUP(K78,Exp_Shift[[Rating]:[Rating]],Exp_Shift[[Number]:[Number]],0,0),_xlpm.X,_xlfn.XLOOKUP(R78,Exp_Shift[[Rating]:[Rating]],Exp_Shift[[Number]:[Number]],0,0), IF(_xlpm.Fin-_xlpm.Init&gt;0, _xlfn.XLOOKUP(MIN(4,_xlpm.X+_xlpm.Fin-_xlpm.Init),Exp_Shift[[Number]:[Number]],Exp_Shift[[Rating]:[Rating]],0,0),IF(_xlpm.Fin-_xlpm.Init&lt;0,_xlfn.XLOOKUP(MAX(0,_xlpm.X-1),Exp_Shift[[Number]:[Number]],Exp_Shift[[Rating]:[Rating]],0,0),R78)))</f>
        <v>E</v>
      </c>
      <c r="S101" t="str" cm="1">
        <f t="array" ref="S101">_xlfn.LET(_xlpm.Fin,_xlfn.XLOOKUP(L101,Exp_Shift[[Rating]:[Rating]],Exp_Shift[[Number]:[Number]],0,0),_xlpm.Init,_xlfn.XLOOKUP(L78,Exp_Shift[[Rating]:[Rating]],Exp_Shift[[Number]:[Number]],0,0),_xlpm.X,_xlfn.XLOOKUP(S78,Exp_Shift[[Rating]:[Rating]],Exp_Shift[[Number]:[Number]],0,0), IF(_xlpm.Fin-_xlpm.Init&gt;0, _xlfn.XLOOKUP(MIN(4,_xlpm.X+_xlpm.Fin-_xlpm.Init),Exp_Shift[[Number]:[Number]],Exp_Shift[[Rating]:[Rating]],0,0),IF(_xlpm.Fin-_xlpm.Init&lt;0,_xlfn.XLOOKUP(MAX(0,_xlpm.X-1),Exp_Shift[[Number]:[Number]],Exp_Shift[[Rating]:[Rating]],0,0),S78)))</f>
        <v>H</v>
      </c>
      <c r="T101" t="str" cm="1">
        <f t="array" ref="T101">_xlfn.LET(_xlpm.Fin,_xlfn.XLOOKUP(M101,Exp_Shift[[Rating]:[Rating]],Exp_Shift[[Number]:[Number]],0,0),_xlpm.Init,_xlfn.XLOOKUP(M78,Exp_Shift[[Rating]:[Rating]],Exp_Shift[[Number]:[Number]],0,0),_xlpm.X,_xlfn.XLOOKUP(T78,Exp_Shift[[Rating]:[Rating]],Exp_Shift[[Number]:[Number]],0,0), IF(_xlpm.Fin-_xlpm.Init&gt;0, _xlfn.XLOOKUP(MIN(4,_xlpm.X+_xlpm.Fin-_xlpm.Init),Exp_Shift[[Number]:[Number]],Exp_Shift[[Rating]:[Rating]],0,0),IF(_xlpm.Fin-_xlpm.Init&lt;0,_xlfn.XLOOKUP(MAX(0,_xlpm.X-1),Exp_Shift[[Number]:[Number]],Exp_Shift[[Rating]:[Rating]],0,0),T78)))</f>
        <v>E</v>
      </c>
      <c r="U101" t="str" cm="1">
        <f t="array" ref="U101">_xlfn.LET(_xlpm.Fin,_xlfn.XLOOKUP(N101,Exp_Shift[[Rating]:[Rating]],Exp_Shift[[Number]:[Number]],0,0),_xlpm.Init,_xlfn.XLOOKUP(N78,Exp_Shift[[Rating]:[Rating]],Exp_Shift[[Number]:[Number]],0,0),_xlpm.X,_xlfn.XLOOKUP(U78,Exp_Shift[[Rating]:[Rating]],Exp_Shift[[Number]:[Number]],0,0), IF(_xlpm.Fin-_xlpm.Init&gt;0, _xlfn.XLOOKUP(MIN(4,_xlpm.X+_xlpm.Fin-_xlpm.Init),Exp_Shift[[Number]:[Number]],Exp_Shift[[Rating]:[Rating]],0,0),IF(_xlpm.Fin-_xlpm.Init&lt;0,_xlfn.XLOOKUP(MAX(0,_xlpm.X-1),Exp_Shift[[Number]:[Number]],Exp_Shift[[Rating]:[Rating]],0,0),U78)))</f>
        <v>E</v>
      </c>
      <c r="V101" t="str" cm="1">
        <f t="array" ref="V101">_xlfn.LET(_xlpm.Fin,_xlfn.XLOOKUP(O101,Exp_Shift[[Rating]:[Rating]],Exp_Shift[[Number]:[Number]],0,0),_xlpm.Init,_xlfn.XLOOKUP(O78,Exp_Shift[[Rating]:[Rating]],Exp_Shift[[Number]:[Number]],0,0),_xlpm.X,_xlfn.XLOOKUP(V78,Exp_Shift[[Rating]:[Rating]],Exp_Shift[[Number]:[Number]],0,0), IF(_xlpm.Fin-_xlpm.Init&gt;0, _xlfn.XLOOKUP(MIN(4,_xlpm.X+_xlpm.Fin-_xlpm.Init),Exp_Shift[[Number]:[Number]],Exp_Shift[[Rating]:[Rating]],0,0),IF(_xlpm.Fin-_xlpm.Init&lt;0,_xlfn.XLOOKUP(MAX(0,_xlpm.X-1),Exp_Shift[[Number]:[Number]],Exp_Shift[[Rating]:[Rating]],0,0),V78)))</f>
        <v>L</v>
      </c>
      <c r="W101" t="str" cm="1">
        <f t="array" ref="W101">_xlfn.LET(_xlpm.Fin,_xlfn.XLOOKUP(P101,Exp_Shift[[Rating]:[Rating]],Exp_Shift[[Number]:[Number]],0,0),_xlpm.Init,_xlfn.XLOOKUP(P78,Exp_Shift[[Rating]:[Rating]],Exp_Shift[[Number]:[Number]],0,0),_xlpm.X,_xlfn.XLOOKUP(W78,Exp_Shift[[Rating]:[Rating]],Exp_Shift[[Number]:[Number]],0,0), IF(_xlpm.Fin-_xlpm.Init&gt;0, _xlfn.XLOOKUP(MIN(4,_xlpm.X+_xlpm.Fin-_xlpm.Init),Exp_Shift[[Number]:[Number]],Exp_Shift[[Rating]:[Rating]],0,0),IF(_xlpm.Fin-_xlpm.Init&lt;0,_xlfn.XLOOKUP(MAX(0,_xlpm.X-1),Exp_Shift[[Number]:[Number]],Exp_Shift[[Rating]:[Rating]],0,0),W78)))</f>
        <v>L</v>
      </c>
      <c r="X101" s="19" t="str" cm="1">
        <f t="array" ref="X101">_xlfn.LET(_xlpm.Fin,_xlfn.XLOOKUP(Q101,Exp_Shift[[Rating]:[Rating]],Exp_Shift[[Number]:[Number]],0,0),_xlpm.Init,_xlfn.XLOOKUP(Q78,Exp_Shift[[Rating]:[Rating]],Exp_Shift[[Number]:[Number]],0,0),_xlpm.X,_xlfn.XLOOKUP(X78,Exp_Shift[[Rating]:[Rating]],Exp_Shift[[Number]:[Number]],0,0), IF(_xlpm.Fin-_xlpm.Init&gt;0, _xlfn.XLOOKUP(MIN(4,_xlpm.X+_xlpm.Fin-_xlpm.Init),Exp_Shift[[Number]:[Number]],Exp_Shift[[Rating]:[Rating]],0,0),IF(_xlpm.Fin-_xlpm.Init&lt;0,_xlfn.XLOOKUP(MAX(0,_xlpm.X-1),Exp_Shift[[Number]:[Number]],Exp_Shift[[Rating]:[Rating]],0,0),X78)))</f>
        <v>E</v>
      </c>
      <c r="Y101" s="23" t="str" cm="1">
        <f t="array" ref="Y101">_xlfn.LET(_xlpm.Fin,_xlfn.XLOOKUP(K101,Exp_Shift[[Rating]:[Rating]],Exp_Shift[[Number]:[Number]],0,0),_xlpm.Init,_xlfn.XLOOKUP(K78,Exp_Shift[[Rating]:[Rating]],Exp_Shift[[Number]:[Number]],0,0),_xlpm.X,_xlfn.XLOOKUP(Y78,Exp_Shift[[Rating]:[Rating]],Exp_Shift[[Number]:[Number]],0,0), IF(_xlpm.Fin-_xlpm.Init&gt;0, _xlfn.XLOOKUP(MIN(4,_xlpm.X+1),Exp_Shift[[Number]:[Number]],Exp_Shift[[Rating]:[Rating]],0,0),IF(_xlpm.Fin-_xlpm.Init&lt;0,_xlfn.XLOOKUP(MAX(0,_xlpm.X),Exp_Shift[[Number]:[Number]],Exp_Shift[[Rating]:[Rating]],0,0),Y78)))</f>
        <v>E</v>
      </c>
      <c r="Z101" t="str" cm="1">
        <f t="array" ref="Z101">_xlfn.LET(_xlpm.Fin,_xlfn.XLOOKUP(L101,Exp_Shift[[Rating]:[Rating]],Exp_Shift[[Number]:[Number]],0,0),_xlpm.Init,_xlfn.XLOOKUP(L78,Exp_Shift[[Rating]:[Rating]],Exp_Shift[[Number]:[Number]],0,0),_xlpm.X,_xlfn.XLOOKUP(Z78,Exp_Shift[[Rating]:[Rating]],Exp_Shift[[Number]:[Number]],0,0), IF(_xlpm.Fin-_xlpm.Init&gt;0, _xlfn.XLOOKUP(MIN(4,_xlpm.X+1),Exp_Shift[[Number]:[Number]],Exp_Shift[[Rating]:[Rating]],0,0),IF(_xlpm.Fin-_xlpm.Init&lt;0,_xlfn.XLOOKUP(MAX(0,_xlpm.X),Exp_Shift[[Number]:[Number]],Exp_Shift[[Rating]:[Rating]],0,0),Z78)))</f>
        <v>E</v>
      </c>
      <c r="AA101" t="str" cm="1">
        <f t="array" ref="AA101">_xlfn.LET(_xlpm.Fin,_xlfn.XLOOKUP(M101,Exp_Shift[[Rating]:[Rating]],Exp_Shift[[Number]:[Number]],0,0),_xlpm.Init,_xlfn.XLOOKUP(M78,Exp_Shift[[Rating]:[Rating]],Exp_Shift[[Number]:[Number]],0,0),_xlpm.X,_xlfn.XLOOKUP(AA78,Exp_Shift[[Rating]:[Rating]],Exp_Shift[[Number]:[Number]],0,0), IF(_xlpm.Fin-_xlpm.Init&gt;0, _xlfn.XLOOKUP(MIN(4,_xlpm.X+1),Exp_Shift[[Number]:[Number]],Exp_Shift[[Rating]:[Rating]],0,0),IF(_xlpm.Fin-_xlpm.Init&lt;0,_xlfn.XLOOKUP(MAX(0,_xlpm.X),Exp_Shift[[Number]:[Number]],Exp_Shift[[Rating]:[Rating]],0,0),AA78)))</f>
        <v>E</v>
      </c>
      <c r="AB101" t="str" cm="1">
        <f t="array" ref="AB101">_xlfn.LET(_xlpm.Fin,_xlfn.XLOOKUP(N101,Exp_Shift[[Rating]:[Rating]],Exp_Shift[[Number]:[Number]],0,0),_xlpm.Init,_xlfn.XLOOKUP(N78,Exp_Shift[[Rating]:[Rating]],Exp_Shift[[Number]:[Number]],0,0),_xlpm.X,_xlfn.XLOOKUP(AB78,Exp_Shift[[Rating]:[Rating]],Exp_Shift[[Number]:[Number]],0,0), IF(_xlpm.Fin-_xlpm.Init&gt;0, _xlfn.XLOOKUP(MIN(4,_xlpm.X+1),Exp_Shift[[Number]:[Number]],Exp_Shift[[Rating]:[Rating]],0,0),IF(_xlpm.Fin-_xlpm.Init&lt;0,_xlfn.XLOOKUP(MAX(0,_xlpm.X),Exp_Shift[[Number]:[Number]],Exp_Shift[[Rating]:[Rating]],0,0),AB78)))</f>
        <v>E</v>
      </c>
      <c r="AC101" t="str" cm="1">
        <f t="array" ref="AC101">_xlfn.LET(_xlpm.Fin,_xlfn.XLOOKUP(O101,Exp_Shift[[Rating]:[Rating]],Exp_Shift[[Number]:[Number]],0,0),_xlpm.Init,_xlfn.XLOOKUP(O78,Exp_Shift[[Rating]:[Rating]],Exp_Shift[[Number]:[Number]],0,0),_xlpm.X,_xlfn.XLOOKUP(AC78,Exp_Shift[[Rating]:[Rating]],Exp_Shift[[Number]:[Number]],0,0), IF(_xlpm.Fin-_xlpm.Init&gt;0, _xlfn.XLOOKUP(MIN(4,_xlpm.X+1),Exp_Shift[[Number]:[Number]],Exp_Shift[[Rating]:[Rating]],0,0),IF(_xlpm.Fin-_xlpm.Init&lt;0,_xlfn.XLOOKUP(MAX(0,_xlpm.X),Exp_Shift[[Number]:[Number]],Exp_Shift[[Rating]:[Rating]],0,0),AC78)))</f>
        <v>L</v>
      </c>
      <c r="AD101" t="str" cm="1">
        <f t="array" ref="AD101">_xlfn.LET(_xlpm.Fin,_xlfn.XLOOKUP(P101,Exp_Shift[[Rating]:[Rating]],Exp_Shift[[Number]:[Number]],0,0),_xlpm.Init,_xlfn.XLOOKUP(P78,Exp_Shift[[Rating]:[Rating]],Exp_Shift[[Number]:[Number]],0,0),_xlpm.X,_xlfn.XLOOKUP(AD78,Exp_Shift[[Rating]:[Rating]],Exp_Shift[[Number]:[Number]],0,0), IF(_xlpm.Fin-_xlpm.Init&gt;0, _xlfn.XLOOKUP(MIN(4,_xlpm.X+1),Exp_Shift[[Number]:[Number]],Exp_Shift[[Rating]:[Rating]],0,0),IF(_xlpm.Fin-_xlpm.Init&lt;0,_xlfn.XLOOKUP(MAX(0,_xlpm.X),Exp_Shift[[Number]:[Number]],Exp_Shift[[Rating]:[Rating]],0,0),AD78)))</f>
        <v>L</v>
      </c>
      <c r="AE101" s="27" t="str" cm="1">
        <f t="array" ref="AE101">_xlfn.LET(_xlpm.Fin,_xlfn.XLOOKUP(Q101,Exp_Shift[[Rating]:[Rating]],Exp_Shift[[Number]:[Number]],0,0),_xlpm.Init,_xlfn.XLOOKUP(Q78,Exp_Shift[[Rating]:[Rating]],Exp_Shift[[Number]:[Number]],0,0),_xlpm.X,_xlfn.XLOOKUP(AE78,Exp_Shift[[Rating]:[Rating]],Exp_Shift[[Number]:[Number]],0,0), IF(_xlpm.Fin-_xlpm.Init&gt;0, _xlfn.XLOOKUP(MIN(4,_xlpm.X+1),Exp_Shift[[Number]:[Number]],Exp_Shift[[Rating]:[Rating]],0,0),IF(_xlpm.Fin-_xlpm.Init&lt;0,_xlfn.XLOOKUP(MAX(0,_xlpm.X),Exp_Shift[[Number]:[Number]],Exp_Shift[[Rating]:[Rating]],0,0),AE78)))</f>
        <v>E</v>
      </c>
    </row>
    <row r="102" spans="8:31" ht="18" x14ac:dyDescent="0.35">
      <c r="H102" s="26">
        <v>45</v>
      </c>
      <c r="I102" s="332" t="s">
        <v>46</v>
      </c>
      <c r="J102" s="328" t="s">
        <v>219</v>
      </c>
      <c r="K102" s="23" t="str" cm="1">
        <f t="array" ref="K102">_xlfn.SWITCH(K79,"N/A","L","L","M","M","H","H","E","E","N/A")</f>
        <v>H</v>
      </c>
      <c r="L102" t="str" cm="1">
        <f t="array" ref="L102">_xlfn.SWITCH(L79,"N/A","L","L","M","M","H","H","E","E","N/A")</f>
        <v>M</v>
      </c>
      <c r="M102" t="str" cm="1">
        <f t="array" ref="M102">_xlfn.SWITCH(M79,"N/A","L","L","M","M","H","H","E","E","N/A")</f>
        <v>H</v>
      </c>
      <c r="N102" t="str" cm="1">
        <f t="array" ref="N102">_xlfn.SWITCH(N79,"N/A","L","L","M","M","H","H","E","E","N/A")</f>
        <v>M</v>
      </c>
      <c r="O102" t="str" cm="1">
        <f t="array" ref="O102">_xlfn.SWITCH(O79,"N/A","L","L","M","M","H","H","E","E","N/A")</f>
        <v>H</v>
      </c>
      <c r="P102" t="str" cm="1">
        <f t="array" ref="P102">_xlfn.SWITCH(P79,"N/A","L","L","M","M","H","H","E","E","N/A")</f>
        <v>M</v>
      </c>
      <c r="Q102" s="19" t="str" cm="1">
        <f t="array" ref="Q102">_xlfn.SWITCH(Q79,"N/A","L","L","M","M","H","H","E","E","N/A")</f>
        <v>H</v>
      </c>
      <c r="R102" s="23" t="str" cm="1">
        <f t="array" ref="R102">_xlfn.LET(_xlpm.Fin,_xlfn.XLOOKUP(K102,Exp_Shift[[Rating]:[Rating]],Exp_Shift[[Number]:[Number]],0,0),_xlpm.Init,_xlfn.XLOOKUP(K79,Exp_Shift[[Rating]:[Rating]],Exp_Shift[[Number]:[Number]],0,0),_xlpm.X,_xlfn.XLOOKUP(R79,Exp_Shift[[Rating]:[Rating]],Exp_Shift[[Number]:[Number]],0,0), IF(_xlpm.Fin-_xlpm.Init&gt;0, _xlfn.XLOOKUP(MIN(4,_xlpm.X+_xlpm.Fin-_xlpm.Init),Exp_Shift[[Number]:[Number]],Exp_Shift[[Rating]:[Rating]],0,0),IF(_xlpm.Fin-_xlpm.Init&lt;0,_xlfn.XLOOKUP(MAX(0,_xlpm.X-1),Exp_Shift[[Number]:[Number]],Exp_Shift[[Rating]:[Rating]],0,0),R79)))</f>
        <v>E</v>
      </c>
      <c r="S102" t="str" cm="1">
        <f t="array" ref="S102">_xlfn.LET(_xlpm.Fin,_xlfn.XLOOKUP(L102,Exp_Shift[[Rating]:[Rating]],Exp_Shift[[Number]:[Number]],0,0),_xlpm.Init,_xlfn.XLOOKUP(L79,Exp_Shift[[Rating]:[Rating]],Exp_Shift[[Number]:[Number]],0,0),_xlpm.X,_xlfn.XLOOKUP(S79,Exp_Shift[[Rating]:[Rating]],Exp_Shift[[Number]:[Number]],0,0), IF(_xlpm.Fin-_xlpm.Init&gt;0, _xlfn.XLOOKUP(MIN(4,_xlpm.X+_xlpm.Fin-_xlpm.Init),Exp_Shift[[Number]:[Number]],Exp_Shift[[Rating]:[Rating]],0,0),IF(_xlpm.Fin-_xlpm.Init&lt;0,_xlfn.XLOOKUP(MAX(0,_xlpm.X-1),Exp_Shift[[Number]:[Number]],Exp_Shift[[Rating]:[Rating]],0,0),S79)))</f>
        <v>H</v>
      </c>
      <c r="T102" t="str" cm="1">
        <f t="array" ref="T102">_xlfn.LET(_xlpm.Fin,_xlfn.XLOOKUP(M102,Exp_Shift[[Rating]:[Rating]],Exp_Shift[[Number]:[Number]],0,0),_xlpm.Init,_xlfn.XLOOKUP(M79,Exp_Shift[[Rating]:[Rating]],Exp_Shift[[Number]:[Number]],0,0),_xlpm.X,_xlfn.XLOOKUP(T79,Exp_Shift[[Rating]:[Rating]],Exp_Shift[[Number]:[Number]],0,0), IF(_xlpm.Fin-_xlpm.Init&gt;0, _xlfn.XLOOKUP(MIN(4,_xlpm.X+_xlpm.Fin-_xlpm.Init),Exp_Shift[[Number]:[Number]],Exp_Shift[[Rating]:[Rating]],0,0),IF(_xlpm.Fin-_xlpm.Init&lt;0,_xlfn.XLOOKUP(MAX(0,_xlpm.X-1),Exp_Shift[[Number]:[Number]],Exp_Shift[[Rating]:[Rating]],0,0),T79)))</f>
        <v>E</v>
      </c>
      <c r="U102" t="str" cm="1">
        <f t="array" ref="U102">_xlfn.LET(_xlpm.Fin,_xlfn.XLOOKUP(N102,Exp_Shift[[Rating]:[Rating]],Exp_Shift[[Number]:[Number]],0,0),_xlpm.Init,_xlfn.XLOOKUP(N79,Exp_Shift[[Rating]:[Rating]],Exp_Shift[[Number]:[Number]],0,0),_xlpm.X,_xlfn.XLOOKUP(U79,Exp_Shift[[Rating]:[Rating]],Exp_Shift[[Number]:[Number]],0,0), IF(_xlpm.Fin-_xlpm.Init&gt;0, _xlfn.XLOOKUP(MIN(4,_xlpm.X+_xlpm.Fin-_xlpm.Init),Exp_Shift[[Number]:[Number]],Exp_Shift[[Rating]:[Rating]],0,0),IF(_xlpm.Fin-_xlpm.Init&lt;0,_xlfn.XLOOKUP(MAX(0,_xlpm.X-1),Exp_Shift[[Number]:[Number]],Exp_Shift[[Rating]:[Rating]],0,0),U79)))</f>
        <v>M</v>
      </c>
      <c r="V102" t="str" cm="1">
        <f t="array" ref="V102">_xlfn.LET(_xlpm.Fin,_xlfn.XLOOKUP(O102,Exp_Shift[[Rating]:[Rating]],Exp_Shift[[Number]:[Number]],0,0),_xlpm.Init,_xlfn.XLOOKUP(O79,Exp_Shift[[Rating]:[Rating]],Exp_Shift[[Number]:[Number]],0,0),_xlpm.X,_xlfn.XLOOKUP(V79,Exp_Shift[[Rating]:[Rating]],Exp_Shift[[Number]:[Number]],0,0), IF(_xlpm.Fin-_xlpm.Init&gt;0, _xlfn.XLOOKUP(MIN(4,_xlpm.X+_xlpm.Fin-_xlpm.Init),Exp_Shift[[Number]:[Number]],Exp_Shift[[Rating]:[Rating]],0,0),IF(_xlpm.Fin-_xlpm.Init&lt;0,_xlfn.XLOOKUP(MAX(0,_xlpm.X-1),Exp_Shift[[Number]:[Number]],Exp_Shift[[Rating]:[Rating]],0,0),V79)))</f>
        <v>E</v>
      </c>
      <c r="W102" t="str" cm="1">
        <f t="array" ref="W102">_xlfn.LET(_xlpm.Fin,_xlfn.XLOOKUP(P102,Exp_Shift[[Rating]:[Rating]],Exp_Shift[[Number]:[Number]],0,0),_xlpm.Init,_xlfn.XLOOKUP(P79,Exp_Shift[[Rating]:[Rating]],Exp_Shift[[Number]:[Number]],0,0),_xlpm.X,_xlfn.XLOOKUP(W79,Exp_Shift[[Rating]:[Rating]],Exp_Shift[[Number]:[Number]],0,0), IF(_xlpm.Fin-_xlpm.Init&gt;0, _xlfn.XLOOKUP(MIN(4,_xlpm.X+_xlpm.Fin-_xlpm.Init),Exp_Shift[[Number]:[Number]],Exp_Shift[[Rating]:[Rating]],0,0),IF(_xlpm.Fin-_xlpm.Init&lt;0,_xlfn.XLOOKUP(MAX(0,_xlpm.X-1),Exp_Shift[[Number]:[Number]],Exp_Shift[[Rating]:[Rating]],0,0),W79)))</f>
        <v>H</v>
      </c>
      <c r="X102" s="19" t="str" cm="1">
        <f t="array" ref="X102">_xlfn.LET(_xlpm.Fin,_xlfn.XLOOKUP(Q102,Exp_Shift[[Rating]:[Rating]],Exp_Shift[[Number]:[Number]],0,0),_xlpm.Init,_xlfn.XLOOKUP(Q79,Exp_Shift[[Rating]:[Rating]],Exp_Shift[[Number]:[Number]],0,0),_xlpm.X,_xlfn.XLOOKUP(X79,Exp_Shift[[Rating]:[Rating]],Exp_Shift[[Number]:[Number]],0,0), IF(_xlpm.Fin-_xlpm.Init&gt;0, _xlfn.XLOOKUP(MIN(4,_xlpm.X+_xlpm.Fin-_xlpm.Init),Exp_Shift[[Number]:[Number]],Exp_Shift[[Rating]:[Rating]],0,0),IF(_xlpm.Fin-_xlpm.Init&lt;0,_xlfn.XLOOKUP(MAX(0,_xlpm.X-1),Exp_Shift[[Number]:[Number]],Exp_Shift[[Rating]:[Rating]],0,0),X79)))</f>
        <v>E</v>
      </c>
      <c r="Y102" s="23" t="str" cm="1">
        <f t="array" ref="Y102">_xlfn.LET(_xlpm.Fin,_xlfn.XLOOKUP(K102,Exp_Shift[[Rating]:[Rating]],Exp_Shift[[Number]:[Number]],0,0),_xlpm.Init,_xlfn.XLOOKUP(K79,Exp_Shift[[Rating]:[Rating]],Exp_Shift[[Number]:[Number]],0,0),_xlpm.X,_xlfn.XLOOKUP(Y79,Exp_Shift[[Rating]:[Rating]],Exp_Shift[[Number]:[Number]],0,0), IF(_xlpm.Fin-_xlpm.Init&gt;0, _xlfn.XLOOKUP(MIN(4,_xlpm.X+1),Exp_Shift[[Number]:[Number]],Exp_Shift[[Rating]:[Rating]],0,0),IF(_xlpm.Fin-_xlpm.Init&lt;0,_xlfn.XLOOKUP(MAX(0,_xlpm.X),Exp_Shift[[Number]:[Number]],Exp_Shift[[Rating]:[Rating]],0,0),Y79)))</f>
        <v>E</v>
      </c>
      <c r="Z102" t="str" cm="1">
        <f t="array" ref="Z102">_xlfn.LET(_xlpm.Fin,_xlfn.XLOOKUP(L102,Exp_Shift[[Rating]:[Rating]],Exp_Shift[[Number]:[Number]],0,0),_xlpm.Init,_xlfn.XLOOKUP(L79,Exp_Shift[[Rating]:[Rating]],Exp_Shift[[Number]:[Number]],0,0),_xlpm.X,_xlfn.XLOOKUP(Z79,Exp_Shift[[Rating]:[Rating]],Exp_Shift[[Number]:[Number]],0,0), IF(_xlpm.Fin-_xlpm.Init&gt;0, _xlfn.XLOOKUP(MIN(4,_xlpm.X+1),Exp_Shift[[Number]:[Number]],Exp_Shift[[Rating]:[Rating]],0,0),IF(_xlpm.Fin-_xlpm.Init&lt;0,_xlfn.XLOOKUP(MAX(0,_xlpm.X),Exp_Shift[[Number]:[Number]],Exp_Shift[[Rating]:[Rating]],0,0),Z79)))</f>
        <v>E</v>
      </c>
      <c r="AA102" t="str" cm="1">
        <f t="array" ref="AA102">_xlfn.LET(_xlpm.Fin,_xlfn.XLOOKUP(M102,Exp_Shift[[Rating]:[Rating]],Exp_Shift[[Number]:[Number]],0,0),_xlpm.Init,_xlfn.XLOOKUP(M79,Exp_Shift[[Rating]:[Rating]],Exp_Shift[[Number]:[Number]],0,0),_xlpm.X,_xlfn.XLOOKUP(AA79,Exp_Shift[[Rating]:[Rating]],Exp_Shift[[Number]:[Number]],0,0), IF(_xlpm.Fin-_xlpm.Init&gt;0, _xlfn.XLOOKUP(MIN(4,_xlpm.X+1),Exp_Shift[[Number]:[Number]],Exp_Shift[[Rating]:[Rating]],0,0),IF(_xlpm.Fin-_xlpm.Init&lt;0,_xlfn.XLOOKUP(MAX(0,_xlpm.X),Exp_Shift[[Number]:[Number]],Exp_Shift[[Rating]:[Rating]],0,0),AA79)))</f>
        <v>E</v>
      </c>
      <c r="AB102" t="str" cm="1">
        <f t="array" ref="AB102">_xlfn.LET(_xlpm.Fin,_xlfn.XLOOKUP(N102,Exp_Shift[[Rating]:[Rating]],Exp_Shift[[Number]:[Number]],0,0),_xlpm.Init,_xlfn.XLOOKUP(N79,Exp_Shift[[Rating]:[Rating]],Exp_Shift[[Number]:[Number]],0,0),_xlpm.X,_xlfn.XLOOKUP(AB79,Exp_Shift[[Rating]:[Rating]],Exp_Shift[[Number]:[Number]],0,0), IF(_xlpm.Fin-_xlpm.Init&gt;0, _xlfn.XLOOKUP(MIN(4,_xlpm.X+1),Exp_Shift[[Number]:[Number]],Exp_Shift[[Rating]:[Rating]],0,0),IF(_xlpm.Fin-_xlpm.Init&lt;0,_xlfn.XLOOKUP(MAX(0,_xlpm.X),Exp_Shift[[Number]:[Number]],Exp_Shift[[Rating]:[Rating]],0,0),AB79)))</f>
        <v>E</v>
      </c>
      <c r="AC102" t="str" cm="1">
        <f t="array" ref="AC102">_xlfn.LET(_xlpm.Fin,_xlfn.XLOOKUP(O102,Exp_Shift[[Rating]:[Rating]],Exp_Shift[[Number]:[Number]],0,0),_xlpm.Init,_xlfn.XLOOKUP(O79,Exp_Shift[[Rating]:[Rating]],Exp_Shift[[Number]:[Number]],0,0),_xlpm.X,_xlfn.XLOOKUP(AC79,Exp_Shift[[Rating]:[Rating]],Exp_Shift[[Number]:[Number]],0,0), IF(_xlpm.Fin-_xlpm.Init&gt;0, _xlfn.XLOOKUP(MIN(4,_xlpm.X+1),Exp_Shift[[Number]:[Number]],Exp_Shift[[Rating]:[Rating]],0,0),IF(_xlpm.Fin-_xlpm.Init&lt;0,_xlfn.XLOOKUP(MAX(0,_xlpm.X),Exp_Shift[[Number]:[Number]],Exp_Shift[[Rating]:[Rating]],0,0),AC79)))</f>
        <v>E</v>
      </c>
      <c r="AD102" t="str" cm="1">
        <f t="array" ref="AD102">_xlfn.LET(_xlpm.Fin,_xlfn.XLOOKUP(P102,Exp_Shift[[Rating]:[Rating]],Exp_Shift[[Number]:[Number]],0,0),_xlpm.Init,_xlfn.XLOOKUP(P79,Exp_Shift[[Rating]:[Rating]],Exp_Shift[[Number]:[Number]],0,0),_xlpm.X,_xlfn.XLOOKUP(AD79,Exp_Shift[[Rating]:[Rating]],Exp_Shift[[Number]:[Number]],0,0), IF(_xlpm.Fin-_xlpm.Init&gt;0, _xlfn.XLOOKUP(MIN(4,_xlpm.X+1),Exp_Shift[[Number]:[Number]],Exp_Shift[[Rating]:[Rating]],0,0),IF(_xlpm.Fin-_xlpm.Init&lt;0,_xlfn.XLOOKUP(MAX(0,_xlpm.X),Exp_Shift[[Number]:[Number]],Exp_Shift[[Rating]:[Rating]],0,0),AD79)))</f>
        <v>E</v>
      </c>
      <c r="AE102" s="27" t="str" cm="1">
        <f t="array" ref="AE102">_xlfn.LET(_xlpm.Fin,_xlfn.XLOOKUP(Q102,Exp_Shift[[Rating]:[Rating]],Exp_Shift[[Number]:[Number]],0,0),_xlpm.Init,_xlfn.XLOOKUP(Q79,Exp_Shift[[Rating]:[Rating]],Exp_Shift[[Number]:[Number]],0,0),_xlpm.X,_xlfn.XLOOKUP(AE79,Exp_Shift[[Rating]:[Rating]],Exp_Shift[[Number]:[Number]],0,0), IF(_xlpm.Fin-_xlpm.Init&gt;0, _xlfn.XLOOKUP(MIN(4,_xlpm.X+1),Exp_Shift[[Number]:[Number]],Exp_Shift[[Rating]:[Rating]],0,0),IF(_xlpm.Fin-_xlpm.Init&lt;0,_xlfn.XLOOKUP(MAX(0,_xlpm.X),Exp_Shift[[Number]:[Number]],Exp_Shift[[Rating]:[Rating]],0,0),AE79)))</f>
        <v>E</v>
      </c>
    </row>
    <row r="103" spans="8:31" ht="18.5" thickBot="1" x14ac:dyDescent="0.4">
      <c r="H103" s="26">
        <v>46</v>
      </c>
      <c r="I103" s="343" t="s">
        <v>46</v>
      </c>
      <c r="J103" s="344" t="s">
        <v>217</v>
      </c>
      <c r="K103" s="227" t="str" cm="1">
        <f t="array" ref="K103">_xlfn.SWITCH(K80,"N/A","L","L","M","M","H","H","E","E","N/A")</f>
        <v>M</v>
      </c>
      <c r="L103" s="10" t="str" cm="1">
        <f t="array" ref="L103">_xlfn.SWITCH(L80,"N/A","L","L","M","M","H","H","E","E","N/A")</f>
        <v>E</v>
      </c>
      <c r="M103" s="10" t="str" cm="1">
        <f t="array" ref="M103">_xlfn.SWITCH(M80,"N/A","L","L","M","M","H","H","E","E","N/A")</f>
        <v>H</v>
      </c>
      <c r="N103" s="10" t="str" cm="1">
        <f t="array" ref="N103">_xlfn.SWITCH(N80,"N/A","L","L","M","M","H","H","E","E","N/A")</f>
        <v>H</v>
      </c>
      <c r="O103" s="10" t="str" cm="1">
        <f t="array" ref="O103">_xlfn.SWITCH(O80,"N/A","L","L","M","M","H","H","E","E","N/A")</f>
        <v>L</v>
      </c>
      <c r="P103" s="10" t="str" cm="1">
        <f t="array" ref="P103">_xlfn.SWITCH(P80,"N/A","L","L","M","M","H","H","E","E","N/A")</f>
        <v>M</v>
      </c>
      <c r="Q103" s="345" t="str" cm="1">
        <f t="array" ref="Q103">_xlfn.SWITCH(Q80,"N/A","L","L","M","M","H","H","E","E","N/A")</f>
        <v>H</v>
      </c>
      <c r="R103" s="227" t="str" cm="1">
        <f t="array" ref="R103">_xlfn.LET(_xlpm.Fin,_xlfn.XLOOKUP(K103,Exp_Shift[[Rating]:[Rating]],Exp_Shift[[Number]:[Number]],0,0),_xlpm.Init,_xlfn.XLOOKUP(K80,Exp_Shift[[Rating]:[Rating]],Exp_Shift[[Number]:[Number]],0,0),_xlpm.X,_xlfn.XLOOKUP(R80,Exp_Shift[[Rating]:[Rating]],Exp_Shift[[Number]:[Number]],0,0), IF(_xlpm.Fin-_xlpm.Init&gt;0, _xlfn.XLOOKUP(MIN(4,_xlpm.X+_xlpm.Fin-_xlpm.Init),Exp_Shift[[Number]:[Number]],Exp_Shift[[Rating]:[Rating]],0,0),IF(_xlpm.Fin-_xlpm.Init&lt;0,_xlfn.XLOOKUP(MAX(0,_xlpm.X-1),Exp_Shift[[Number]:[Number]],Exp_Shift[[Rating]:[Rating]],0,0),R80)))</f>
        <v>E</v>
      </c>
      <c r="S103" s="10" t="str" cm="1">
        <f t="array" ref="S103">_xlfn.LET(_xlpm.Fin,_xlfn.XLOOKUP(L103,Exp_Shift[[Rating]:[Rating]],Exp_Shift[[Number]:[Number]],0,0),_xlpm.Init,_xlfn.XLOOKUP(L80,Exp_Shift[[Rating]:[Rating]],Exp_Shift[[Number]:[Number]],0,0),_xlpm.X,_xlfn.XLOOKUP(S80,Exp_Shift[[Rating]:[Rating]],Exp_Shift[[Number]:[Number]],0,0), IF(_xlpm.Fin-_xlpm.Init&gt;0, _xlfn.XLOOKUP(MIN(4,_xlpm.X+_xlpm.Fin-_xlpm.Init),Exp_Shift[[Number]:[Number]],Exp_Shift[[Rating]:[Rating]],0,0),IF(_xlpm.Fin-_xlpm.Init&lt;0,_xlfn.XLOOKUP(MAX(0,_xlpm.X-1),Exp_Shift[[Number]:[Number]],Exp_Shift[[Rating]:[Rating]],0,0),S80)))</f>
        <v>E</v>
      </c>
      <c r="T103" s="10" t="str" cm="1">
        <f t="array" ref="T103">_xlfn.LET(_xlpm.Fin,_xlfn.XLOOKUP(M103,Exp_Shift[[Rating]:[Rating]],Exp_Shift[[Number]:[Number]],0,0),_xlpm.Init,_xlfn.XLOOKUP(M80,Exp_Shift[[Rating]:[Rating]],Exp_Shift[[Number]:[Number]],0,0),_xlpm.X,_xlfn.XLOOKUP(T80,Exp_Shift[[Rating]:[Rating]],Exp_Shift[[Number]:[Number]],0,0), IF(_xlpm.Fin-_xlpm.Init&gt;0, _xlfn.XLOOKUP(MIN(4,_xlpm.X+_xlpm.Fin-_xlpm.Init),Exp_Shift[[Number]:[Number]],Exp_Shift[[Rating]:[Rating]],0,0),IF(_xlpm.Fin-_xlpm.Init&lt;0,_xlfn.XLOOKUP(MAX(0,_xlpm.X-1),Exp_Shift[[Number]:[Number]],Exp_Shift[[Rating]:[Rating]],0,0),T80)))</f>
        <v>E</v>
      </c>
      <c r="U103" s="10" t="str" cm="1">
        <f t="array" ref="U103">_xlfn.LET(_xlpm.Fin,_xlfn.XLOOKUP(N103,Exp_Shift[[Rating]:[Rating]],Exp_Shift[[Number]:[Number]],0,0),_xlpm.Init,_xlfn.XLOOKUP(N80,Exp_Shift[[Rating]:[Rating]],Exp_Shift[[Number]:[Number]],0,0),_xlpm.X,_xlfn.XLOOKUP(U80,Exp_Shift[[Rating]:[Rating]],Exp_Shift[[Number]:[Number]],0,0), IF(_xlpm.Fin-_xlpm.Init&gt;0, _xlfn.XLOOKUP(MIN(4,_xlpm.X+_xlpm.Fin-_xlpm.Init),Exp_Shift[[Number]:[Number]],Exp_Shift[[Rating]:[Rating]],0,0),IF(_xlpm.Fin-_xlpm.Init&lt;0,_xlfn.XLOOKUP(MAX(0,_xlpm.X-1),Exp_Shift[[Number]:[Number]],Exp_Shift[[Rating]:[Rating]],0,0),U80)))</f>
        <v>E</v>
      </c>
      <c r="V103" s="10" t="str" cm="1">
        <f t="array" ref="V103">_xlfn.LET(_xlpm.Fin,_xlfn.XLOOKUP(O103,Exp_Shift[[Rating]:[Rating]],Exp_Shift[[Number]:[Number]],0,0),_xlpm.Init,_xlfn.XLOOKUP(O80,Exp_Shift[[Rating]:[Rating]],Exp_Shift[[Number]:[Number]],0,0),_xlpm.X,_xlfn.XLOOKUP(V80,Exp_Shift[[Rating]:[Rating]],Exp_Shift[[Number]:[Number]],0,0), IF(_xlpm.Fin-_xlpm.Init&gt;0, _xlfn.XLOOKUP(MIN(4,_xlpm.X+_xlpm.Fin-_xlpm.Init),Exp_Shift[[Number]:[Number]],Exp_Shift[[Rating]:[Rating]],0,0),IF(_xlpm.Fin-_xlpm.Init&lt;0,_xlfn.XLOOKUP(MAX(0,_xlpm.X-1),Exp_Shift[[Number]:[Number]],Exp_Shift[[Rating]:[Rating]],0,0),V80)))</f>
        <v>L</v>
      </c>
      <c r="W103" s="10" t="str" cm="1">
        <f t="array" ref="W103">_xlfn.LET(_xlpm.Fin,_xlfn.XLOOKUP(P103,Exp_Shift[[Rating]:[Rating]],Exp_Shift[[Number]:[Number]],0,0),_xlpm.Init,_xlfn.XLOOKUP(P80,Exp_Shift[[Rating]:[Rating]],Exp_Shift[[Number]:[Number]],0,0),_xlpm.X,_xlfn.XLOOKUP(W80,Exp_Shift[[Rating]:[Rating]],Exp_Shift[[Number]:[Number]],0,0), IF(_xlpm.Fin-_xlpm.Init&gt;0, _xlfn.XLOOKUP(MIN(4,_xlpm.X+_xlpm.Fin-_xlpm.Init),Exp_Shift[[Number]:[Number]],Exp_Shift[[Rating]:[Rating]],0,0),IF(_xlpm.Fin-_xlpm.Init&lt;0,_xlfn.XLOOKUP(MAX(0,_xlpm.X-1),Exp_Shift[[Number]:[Number]],Exp_Shift[[Rating]:[Rating]],0,0),W80)))</f>
        <v>E</v>
      </c>
      <c r="X103" s="345" t="str" cm="1">
        <f t="array" ref="X103">_xlfn.LET(_xlpm.Fin,_xlfn.XLOOKUP(Q103,Exp_Shift[[Rating]:[Rating]],Exp_Shift[[Number]:[Number]],0,0),_xlpm.Init,_xlfn.XLOOKUP(Q80,Exp_Shift[[Rating]:[Rating]],Exp_Shift[[Number]:[Number]],0,0),_xlpm.X,_xlfn.XLOOKUP(X80,Exp_Shift[[Rating]:[Rating]],Exp_Shift[[Number]:[Number]],0,0), IF(_xlpm.Fin-_xlpm.Init&gt;0, _xlfn.XLOOKUP(MIN(4,_xlpm.X+_xlpm.Fin-_xlpm.Init),Exp_Shift[[Number]:[Number]],Exp_Shift[[Rating]:[Rating]],0,0),IF(_xlpm.Fin-_xlpm.Init&lt;0,_xlfn.XLOOKUP(MAX(0,_xlpm.X-1),Exp_Shift[[Number]:[Number]],Exp_Shift[[Rating]:[Rating]],0,0),X80)))</f>
        <v>E</v>
      </c>
      <c r="Y103" s="227" t="str" cm="1">
        <f t="array" ref="Y103">_xlfn.LET(_xlpm.Fin,_xlfn.XLOOKUP(K103,Exp_Shift[[Rating]:[Rating]],Exp_Shift[[Number]:[Number]],0,0),_xlpm.Init,_xlfn.XLOOKUP(K80,Exp_Shift[[Rating]:[Rating]],Exp_Shift[[Number]:[Number]],0,0),_xlpm.X,_xlfn.XLOOKUP(Y80,Exp_Shift[[Rating]:[Rating]],Exp_Shift[[Number]:[Number]],0,0), IF(_xlpm.Fin-_xlpm.Init&gt;0, _xlfn.XLOOKUP(MIN(4,_xlpm.X+1),Exp_Shift[[Number]:[Number]],Exp_Shift[[Rating]:[Rating]],0,0),IF(_xlpm.Fin-_xlpm.Init&lt;0,_xlfn.XLOOKUP(MAX(0,_xlpm.X),Exp_Shift[[Number]:[Number]],Exp_Shift[[Rating]:[Rating]],0,0),Y80)))</f>
        <v>E</v>
      </c>
      <c r="Z103" s="10" t="str" cm="1">
        <f t="array" ref="Z103">_xlfn.LET(_xlpm.Fin,_xlfn.XLOOKUP(L103,Exp_Shift[[Rating]:[Rating]],Exp_Shift[[Number]:[Number]],0,0),_xlpm.Init,_xlfn.XLOOKUP(L80,Exp_Shift[[Rating]:[Rating]],Exp_Shift[[Number]:[Number]],0,0),_xlpm.X,_xlfn.XLOOKUP(Z80,Exp_Shift[[Rating]:[Rating]],Exp_Shift[[Number]:[Number]],0,0), IF(_xlpm.Fin-_xlpm.Init&gt;0, _xlfn.XLOOKUP(MIN(4,_xlpm.X+1),Exp_Shift[[Number]:[Number]],Exp_Shift[[Rating]:[Rating]],0,0),IF(_xlpm.Fin-_xlpm.Init&lt;0,_xlfn.XLOOKUP(MAX(0,_xlpm.X),Exp_Shift[[Number]:[Number]],Exp_Shift[[Rating]:[Rating]],0,0),Z80)))</f>
        <v>E</v>
      </c>
      <c r="AA103" s="10" t="str" cm="1">
        <f t="array" ref="AA103">_xlfn.LET(_xlpm.Fin,_xlfn.XLOOKUP(M103,Exp_Shift[[Rating]:[Rating]],Exp_Shift[[Number]:[Number]],0,0),_xlpm.Init,_xlfn.XLOOKUP(M80,Exp_Shift[[Rating]:[Rating]],Exp_Shift[[Number]:[Number]],0,0),_xlpm.X,_xlfn.XLOOKUP(AA80,Exp_Shift[[Rating]:[Rating]],Exp_Shift[[Number]:[Number]],0,0), IF(_xlpm.Fin-_xlpm.Init&gt;0, _xlfn.XLOOKUP(MIN(4,_xlpm.X+1),Exp_Shift[[Number]:[Number]],Exp_Shift[[Rating]:[Rating]],0,0),IF(_xlpm.Fin-_xlpm.Init&lt;0,_xlfn.XLOOKUP(MAX(0,_xlpm.X),Exp_Shift[[Number]:[Number]],Exp_Shift[[Rating]:[Rating]],0,0),AA80)))</f>
        <v>E</v>
      </c>
      <c r="AB103" s="10" t="str" cm="1">
        <f t="array" ref="AB103">_xlfn.LET(_xlpm.Fin,_xlfn.XLOOKUP(N103,Exp_Shift[[Rating]:[Rating]],Exp_Shift[[Number]:[Number]],0,0),_xlpm.Init,_xlfn.XLOOKUP(N80,Exp_Shift[[Rating]:[Rating]],Exp_Shift[[Number]:[Number]],0,0),_xlpm.X,_xlfn.XLOOKUP(AB80,Exp_Shift[[Rating]:[Rating]],Exp_Shift[[Number]:[Number]],0,0), IF(_xlpm.Fin-_xlpm.Init&gt;0, _xlfn.XLOOKUP(MIN(4,_xlpm.X+1),Exp_Shift[[Number]:[Number]],Exp_Shift[[Rating]:[Rating]],0,0),IF(_xlpm.Fin-_xlpm.Init&lt;0,_xlfn.XLOOKUP(MAX(0,_xlpm.X),Exp_Shift[[Number]:[Number]],Exp_Shift[[Rating]:[Rating]],0,0),AB80)))</f>
        <v>E</v>
      </c>
      <c r="AC103" s="10" t="str" cm="1">
        <f t="array" ref="AC103">_xlfn.LET(_xlpm.Fin,_xlfn.XLOOKUP(O103,Exp_Shift[[Rating]:[Rating]],Exp_Shift[[Number]:[Number]],0,0),_xlpm.Init,_xlfn.XLOOKUP(O80,Exp_Shift[[Rating]:[Rating]],Exp_Shift[[Number]:[Number]],0,0),_xlpm.X,_xlfn.XLOOKUP(AC80,Exp_Shift[[Rating]:[Rating]],Exp_Shift[[Number]:[Number]],0,0), IF(_xlpm.Fin-_xlpm.Init&gt;0, _xlfn.XLOOKUP(MIN(4,_xlpm.X+1),Exp_Shift[[Number]:[Number]],Exp_Shift[[Rating]:[Rating]],0,0),IF(_xlpm.Fin-_xlpm.Init&lt;0,_xlfn.XLOOKUP(MAX(0,_xlpm.X),Exp_Shift[[Number]:[Number]],Exp_Shift[[Rating]:[Rating]],0,0),AC80)))</f>
        <v>L</v>
      </c>
      <c r="AD103" s="10" t="str" cm="1">
        <f t="array" ref="AD103">_xlfn.LET(_xlpm.Fin,_xlfn.XLOOKUP(P103,Exp_Shift[[Rating]:[Rating]],Exp_Shift[[Number]:[Number]],0,0),_xlpm.Init,_xlfn.XLOOKUP(P80,Exp_Shift[[Rating]:[Rating]],Exp_Shift[[Number]:[Number]],0,0),_xlpm.X,_xlfn.XLOOKUP(AD80,Exp_Shift[[Rating]:[Rating]],Exp_Shift[[Number]:[Number]],0,0), IF(_xlpm.Fin-_xlpm.Init&gt;0, _xlfn.XLOOKUP(MIN(4,_xlpm.X+1),Exp_Shift[[Number]:[Number]],Exp_Shift[[Rating]:[Rating]],0,0),IF(_xlpm.Fin-_xlpm.Init&lt;0,_xlfn.XLOOKUP(MAX(0,_xlpm.X),Exp_Shift[[Number]:[Number]],Exp_Shift[[Rating]:[Rating]],0,0),AD80)))</f>
        <v>E</v>
      </c>
      <c r="AE103" s="12" t="str" cm="1">
        <f t="array" ref="AE103">_xlfn.LET(_xlpm.Fin,_xlfn.XLOOKUP(Q103,Exp_Shift[[Rating]:[Rating]],Exp_Shift[[Number]:[Number]],0,0),_xlpm.Init,_xlfn.XLOOKUP(Q80,Exp_Shift[[Rating]:[Rating]],Exp_Shift[[Number]:[Number]],0,0),_xlpm.X,_xlfn.XLOOKUP(AE80,Exp_Shift[[Rating]:[Rating]],Exp_Shift[[Number]:[Number]],0,0), IF(_xlpm.Fin-_xlpm.Init&gt;0, _xlfn.XLOOKUP(MIN(4,_xlpm.X+1),Exp_Shift[[Number]:[Number]],Exp_Shift[[Rating]:[Rating]],0,0),IF(_xlpm.Fin-_xlpm.Init&lt;0,_xlfn.XLOOKUP(MAX(0,_xlpm.X),Exp_Shift[[Number]:[Number]],Exp_Shift[[Rating]:[Rating]],0,0),AE80)))</f>
        <v>E</v>
      </c>
    </row>
    <row r="104" spans="8:31" ht="18" x14ac:dyDescent="0.35">
      <c r="H104" s="99">
        <v>47</v>
      </c>
      <c r="I104" s="336" t="s">
        <v>111</v>
      </c>
      <c r="J104" s="337" t="s">
        <v>112</v>
      </c>
      <c r="K104" s="338" t="str" cm="1">
        <f t="array" ref="K104">_xlfn.SWITCH(K81,"N/A","L","L","M","M","H","H","E","E","N/A")</f>
        <v>E</v>
      </c>
      <c r="L104" s="100" t="str" cm="1">
        <f t="array" ref="L104">_xlfn.SWITCH(L81,"N/A","L","L","M","M","H","H","E","E","N/A")</f>
        <v>H</v>
      </c>
      <c r="M104" s="100" t="str" cm="1">
        <f t="array" ref="M104">_xlfn.SWITCH(M81,"N/A","L","L","M","M","H","H","E","E","N/A")</f>
        <v>N/A</v>
      </c>
      <c r="N104" s="100" t="str" cm="1">
        <f t="array" ref="N104">_xlfn.SWITCH(N81,"N/A","L","L","M","M","H","H","E","E","N/A")</f>
        <v>H</v>
      </c>
      <c r="O104" s="100" t="str" cm="1">
        <f t="array" ref="O104">_xlfn.SWITCH(O81,"N/A","L","L","M","M","H","H","E","E","N/A")</f>
        <v>N/A</v>
      </c>
      <c r="P104" s="100" t="str" cm="1">
        <f t="array" ref="P104">_xlfn.SWITCH(P81,"N/A","L","L","M","M","H","H","E","E","N/A")</f>
        <v>N/A</v>
      </c>
      <c r="Q104" s="339" t="str" cm="1">
        <f t="array" ref="Q104">_xlfn.SWITCH(Q81,"N/A","L","L","M","M","H","H","E","E","N/A")</f>
        <v>N/A</v>
      </c>
      <c r="R104" s="338" t="str" cm="1">
        <f t="array" ref="R104">_xlfn.LET(_xlpm.Fin,_xlfn.XLOOKUP(K104,Exp_Shift[Rating],Exp_Shift[Number],0,0),_xlpm.Init,_xlfn.XLOOKUP(K58,Exp_Shift[Rating],Exp_Shift[Number],0,0),_xlpm.X,_xlfn.XLOOKUP(R58,Exp_Shift[Rating],Exp_Shift[Number],0,0), IF(_xlpm.Fin-_xlpm.Init&gt;0, _xlfn.XLOOKUP(MIN(4,_xlpm.X+_xlpm.Fin-_xlpm.Init),Exp_Shift[Number],Exp_Shift[Rating],0,0),IF(_xlpm.Fin-_xlpm.Init&lt;0,_xlfn.XLOOKUP(MAX(0,_xlpm.X-1),Exp_Shift[Number],Exp_Shift[Rating],0,0),R58)))</f>
        <v>E</v>
      </c>
      <c r="S104" s="100" t="str" cm="1">
        <f t="array" ref="S104">_xlfn.LET(_xlpm.Fin,_xlfn.XLOOKUP(L104,Exp_Shift[Rating],Exp_Shift[Number],0,0),_xlpm.Init,_xlfn.XLOOKUP(L58,Exp_Shift[Rating],Exp_Shift[Number],0,0),_xlpm.X,_xlfn.XLOOKUP(S58,Exp_Shift[Rating],Exp_Shift[Number],0,0), IF(_xlpm.Fin-_xlpm.Init&gt;0, _xlfn.XLOOKUP(MIN(4,_xlpm.X+_xlpm.Fin-_xlpm.Init),Exp_Shift[Number],Exp_Shift[Rating],0,0),IF(_xlpm.Fin-_xlpm.Init&lt;0,_xlfn.XLOOKUP(MAX(0,_xlpm.X-1),Exp_Shift[Number],Exp_Shift[Rating],0,0),S58)))</f>
        <v>H</v>
      </c>
      <c r="T104" s="100" t="str" cm="1">
        <f t="array" ref="T104">_xlfn.LET(_xlpm.Fin,_xlfn.XLOOKUP(M104,Exp_Shift[Rating],Exp_Shift[Number],0,0),_xlpm.Init,_xlfn.XLOOKUP(M58,Exp_Shift[Rating],Exp_Shift[Number],0,0),_xlpm.X,_xlfn.XLOOKUP(T58,Exp_Shift[Rating],Exp_Shift[Number],0,0), IF(_xlpm.Fin-_xlpm.Init&gt;0, _xlfn.XLOOKUP(MIN(4,_xlpm.X+_xlpm.Fin-_xlpm.Init),Exp_Shift[Number],Exp_Shift[Rating],0,0),IF(_xlpm.Fin-_xlpm.Init&lt;0,_xlfn.XLOOKUP(MAX(0,_xlpm.X-1),Exp_Shift[Number],Exp_Shift[Rating],0,0),T58)))</f>
        <v>H</v>
      </c>
      <c r="U104" s="100" t="str" cm="1">
        <f t="array" ref="U104">_xlfn.LET(_xlpm.Fin,_xlfn.XLOOKUP(N104,Exp_Shift[Rating],Exp_Shift[Number],0,0),_xlpm.Init,_xlfn.XLOOKUP(N58,Exp_Shift[Rating],Exp_Shift[Number],0,0),_xlpm.X,_xlfn.XLOOKUP(U58,Exp_Shift[Rating],Exp_Shift[Number],0,0), IF(_xlpm.Fin-_xlpm.Init&gt;0, _xlfn.XLOOKUP(MIN(4,_xlpm.X+_xlpm.Fin-_xlpm.Init),Exp_Shift[Number],Exp_Shift[Rating],0,0),IF(_xlpm.Fin-_xlpm.Init&lt;0,_xlfn.XLOOKUP(MAX(0,_xlpm.X-1),Exp_Shift[Number],Exp_Shift[Rating],0,0),U58)))</f>
        <v>H</v>
      </c>
      <c r="V104" s="100" t="str" cm="1">
        <f t="array" ref="V104">_xlfn.LET(_xlpm.Fin,_xlfn.XLOOKUP(O104,Exp_Shift[Rating],Exp_Shift[Number],0,0),_xlpm.Init,_xlfn.XLOOKUP(O58,Exp_Shift[Rating],Exp_Shift[Number],0,0),_xlpm.X,_xlfn.XLOOKUP(V58,Exp_Shift[Rating],Exp_Shift[Number],0,0), IF(_xlpm.Fin-_xlpm.Init&gt;0, _xlfn.XLOOKUP(MIN(4,_xlpm.X+_xlpm.Fin-_xlpm.Init),Exp_Shift[Number],Exp_Shift[Rating],0,0),IF(_xlpm.Fin-_xlpm.Init&lt;0,_xlfn.XLOOKUP(MAX(0,_xlpm.X-1),Exp_Shift[Number],Exp_Shift[Rating],0,0),V58)))</f>
        <v>H</v>
      </c>
      <c r="W104" s="100" t="str" cm="1">
        <f t="array" ref="W104">_xlfn.LET(_xlpm.Fin,_xlfn.XLOOKUP(P104,Exp_Shift[Rating],Exp_Shift[Number],0,0),_xlpm.Init,_xlfn.XLOOKUP(P58,Exp_Shift[Rating],Exp_Shift[Number],0,0),_xlpm.X,_xlfn.XLOOKUP(W58,Exp_Shift[Rating],Exp_Shift[Number],0,0), IF(_xlpm.Fin-_xlpm.Init&gt;0, _xlfn.XLOOKUP(MIN(4,_xlpm.X+_xlpm.Fin-_xlpm.Init),Exp_Shift[Number],Exp_Shift[Rating],0,0),IF(_xlpm.Fin-_xlpm.Init&lt;0,_xlfn.XLOOKUP(MAX(0,_xlpm.X-1),Exp_Shift[Number],Exp_Shift[Rating],0,0),W58)))</f>
        <v>M</v>
      </c>
      <c r="X104" s="339" t="str" cm="1">
        <f t="array" ref="X104">_xlfn.LET(_xlpm.Fin,_xlfn.XLOOKUP(Q104,Exp_Shift[Rating],Exp_Shift[Number],0,0),_xlpm.Init,_xlfn.XLOOKUP(Q58,Exp_Shift[Rating],Exp_Shift[Number],0,0),_xlpm.X,_xlfn.XLOOKUP(X58,Exp_Shift[Rating],Exp_Shift[Number],0,0), IF(_xlpm.Fin-_xlpm.Init&gt;0, _xlfn.XLOOKUP(MIN(4,_xlpm.X+_xlpm.Fin-_xlpm.Init),Exp_Shift[Number],Exp_Shift[Rating],0,0),IF(_xlpm.Fin-_xlpm.Init&lt;0,_xlfn.XLOOKUP(MAX(0,_xlpm.X-1),Exp_Shift[Number],Exp_Shift[Rating],0,0),X58)))</f>
        <v>H</v>
      </c>
      <c r="Y104" s="338" t="str" cm="1">
        <f t="array" ref="Y104">_xlfn.LET(_xlpm.Fin,_xlfn.XLOOKUP(K104,Exp_Shift[Rating],Exp_Shift[Number],0,0),_xlpm.Init,_xlfn.XLOOKUP(K58,Exp_Shift[Rating],Exp_Shift[Number],0,0),_xlpm.X,_xlfn.XLOOKUP(Y58,Exp_Shift[Rating],Exp_Shift[Number],0,0), IF(_xlpm.Fin-_xlpm.Init&gt;0, _xlfn.XLOOKUP(MIN(4,_xlpm.X+1),Exp_Shift[Number],Exp_Shift[Rating],0,0),IF(_xlpm.Fin-_xlpm.Init&lt;0,_xlfn.XLOOKUP(MAX(0,_xlpm.X),Exp_Shift[Number],Exp_Shift[Rating],0,0),Y58)))</f>
        <v>E</v>
      </c>
      <c r="Z104" s="100" t="str" cm="1">
        <f t="array" ref="Z104">_xlfn.LET(_xlpm.Fin,_xlfn.XLOOKUP(L104,Exp_Shift[Rating],Exp_Shift[Number],0,0),_xlpm.Init,_xlfn.XLOOKUP(L58,Exp_Shift[Rating],Exp_Shift[Number],0,0),_xlpm.X,_xlfn.XLOOKUP(Z58,Exp_Shift[Rating],Exp_Shift[Number],0,0), IF(_xlpm.Fin-_xlpm.Init&gt;0, _xlfn.XLOOKUP(MIN(4,_xlpm.X+1),Exp_Shift[Number],Exp_Shift[Rating],0,0),IF(_xlpm.Fin-_xlpm.Init&lt;0,_xlfn.XLOOKUP(MAX(0,_xlpm.X),Exp_Shift[Number],Exp_Shift[Rating],0,0),Z58)))</f>
        <v>H</v>
      </c>
      <c r="AA104" s="100" t="str" cm="1">
        <f t="array" ref="AA104">_xlfn.LET(_xlpm.Fin,_xlfn.XLOOKUP(M104,Exp_Shift[Rating],Exp_Shift[Number],0,0),_xlpm.Init,_xlfn.XLOOKUP(M58,Exp_Shift[Rating],Exp_Shift[Number],0,0),_xlpm.X,_xlfn.XLOOKUP(AA58,Exp_Shift[Rating],Exp_Shift[Number],0,0), IF(_xlpm.Fin-_xlpm.Init&gt;0, _xlfn.XLOOKUP(MIN(4,_xlpm.X+1),Exp_Shift[Number],Exp_Shift[Rating],0,0),IF(_xlpm.Fin-_xlpm.Init&lt;0,_xlfn.XLOOKUP(MAX(0,_xlpm.X),Exp_Shift[Number],Exp_Shift[Rating],0,0),AA58)))</f>
        <v>E</v>
      </c>
      <c r="AB104" s="100" t="str" cm="1">
        <f t="array" ref="AB104">_xlfn.LET(_xlpm.Fin,_xlfn.XLOOKUP(N104,Exp_Shift[Rating],Exp_Shift[Number],0,0),_xlpm.Init,_xlfn.XLOOKUP(N58,Exp_Shift[Rating],Exp_Shift[Number],0,0),_xlpm.X,_xlfn.XLOOKUP(AB58,Exp_Shift[Rating],Exp_Shift[Number],0,0), IF(_xlpm.Fin-_xlpm.Init&gt;0, _xlfn.XLOOKUP(MIN(4,_xlpm.X+1),Exp_Shift[Number],Exp_Shift[Rating],0,0),IF(_xlpm.Fin-_xlpm.Init&lt;0,_xlfn.XLOOKUP(MAX(0,_xlpm.X),Exp_Shift[Number],Exp_Shift[Rating],0,0),AB58)))</f>
        <v>M</v>
      </c>
      <c r="AC104" s="100" t="str" cm="1">
        <f t="array" ref="AC104">_xlfn.LET(_xlpm.Fin,_xlfn.XLOOKUP(O104,Exp_Shift[Rating],Exp_Shift[Number],0,0),_xlpm.Init,_xlfn.XLOOKUP(O58,Exp_Shift[Rating],Exp_Shift[Number],0,0),_xlpm.X,_xlfn.XLOOKUP(AC58,Exp_Shift[Rating],Exp_Shift[Number],0,0), IF(_xlpm.Fin-_xlpm.Init&gt;0, _xlfn.XLOOKUP(MIN(4,_xlpm.X+1),Exp_Shift[Number],Exp_Shift[Rating],0,0),IF(_xlpm.Fin-_xlpm.Init&lt;0,_xlfn.XLOOKUP(MAX(0,_xlpm.X),Exp_Shift[Number],Exp_Shift[Rating],0,0),AC58)))</f>
        <v>E</v>
      </c>
      <c r="AD104" s="100" t="str" cm="1">
        <f t="array" ref="AD104">_xlfn.LET(_xlpm.Fin,_xlfn.XLOOKUP(P104,Exp_Shift[Rating],Exp_Shift[Number],0,0),_xlpm.Init,_xlfn.XLOOKUP(P58,Exp_Shift[Rating],Exp_Shift[Number],0,0),_xlpm.X,_xlfn.XLOOKUP(AD58,Exp_Shift[Rating],Exp_Shift[Number],0,0), IF(_xlpm.Fin-_xlpm.Init&gt;0, _xlfn.XLOOKUP(MIN(4,_xlpm.X+1),Exp_Shift[Number],Exp_Shift[Rating],0,0),IF(_xlpm.Fin-_xlpm.Init&lt;0,_xlfn.XLOOKUP(MAX(0,_xlpm.X),Exp_Shift[Number],Exp_Shift[Rating],0,0),AD58)))</f>
        <v>E</v>
      </c>
      <c r="AE104" s="340" t="str" cm="1">
        <f t="array" ref="AE104">_xlfn.LET(_xlpm.Fin,_xlfn.XLOOKUP(Q104,Exp_Shift[Rating],Exp_Shift[Number],0,0),_xlpm.Init,_xlfn.XLOOKUP(Q58,Exp_Shift[Rating],Exp_Shift[Number],0,0),_xlpm.X,_xlfn.XLOOKUP(AE58,Exp_Shift[Rating],Exp_Shift[Number],0,0), IF(_xlpm.Fin-_xlpm.Init&gt;0, _xlfn.XLOOKUP(MIN(4,_xlpm.X+1),Exp_Shift[Number],Exp_Shift[Rating],0,0),IF(_xlpm.Fin-_xlpm.Init&lt;0,_xlfn.XLOOKUP(MAX(0,_xlpm.X),Exp_Shift[Number],Exp_Shift[Rating],0,0),AE58)))</f>
        <v>E</v>
      </c>
    </row>
    <row r="105" spans="8:31" ht="18" x14ac:dyDescent="0.35">
      <c r="H105" s="26">
        <v>48</v>
      </c>
      <c r="I105" s="327" t="s">
        <v>111</v>
      </c>
      <c r="J105" s="328" t="s">
        <v>117</v>
      </c>
      <c r="K105" s="23" t="str" cm="1">
        <f t="array" ref="K105">_xlfn.SWITCH(K82,"N/A","L","L","M","M","H","H","E","E","N/A")</f>
        <v>H</v>
      </c>
      <c r="L105" t="str" cm="1">
        <f t="array" ref="L105">_xlfn.SWITCH(L82,"N/A","L","L","M","M","H","H","E","E","N/A")</f>
        <v>E</v>
      </c>
      <c r="M105" t="str" cm="1">
        <f t="array" ref="M105">_xlfn.SWITCH(M82,"N/A","L","L","M","M","H","H","E","E","N/A")</f>
        <v>N/A</v>
      </c>
      <c r="N105" t="str" cm="1">
        <f t="array" ref="N105">_xlfn.SWITCH(N82,"N/A","L","L","M","M","H","H","E","E","N/A")</f>
        <v>H</v>
      </c>
      <c r="O105" t="str" cm="1">
        <f t="array" ref="O105">_xlfn.SWITCH(O82,"N/A","L","L","M","M","H","H","E","E","N/A")</f>
        <v>M</v>
      </c>
      <c r="P105" t="str" cm="1">
        <f t="array" ref="P105">_xlfn.SWITCH(P82,"N/A","L","L","M","M","H","H","E","E","N/A")</f>
        <v>M</v>
      </c>
      <c r="Q105" s="19" t="str" cm="1">
        <f t="array" ref="Q105">_xlfn.SWITCH(Q82,"N/A","L","L","M","M","H","H","E","E","N/A")</f>
        <v>N/A</v>
      </c>
      <c r="R105" s="23" t="str" cm="1">
        <f t="array" ref="R105">_xlfn.LET(_xlpm.Fin,_xlfn.XLOOKUP(K105,Exp_Shift[Rating],Exp_Shift[Number],0,0),_xlpm.Init,_xlfn.XLOOKUP(K59,Exp_Shift[Rating],Exp_Shift[Number],0,0),_xlpm.X,_xlfn.XLOOKUP(R59,Exp_Shift[Rating],Exp_Shift[Number],0,0), IF(_xlpm.Fin-_xlpm.Init&gt;0, _xlfn.XLOOKUP(MIN(4,_xlpm.X+_xlpm.Fin-_xlpm.Init),Exp_Shift[Number],Exp_Shift[Rating],0,0),IF(_xlpm.Fin-_xlpm.Init&lt;0,_xlfn.XLOOKUP(MAX(0,_xlpm.X-1),Exp_Shift[Number],Exp_Shift[Rating],0,0),R59)))</f>
        <v>E</v>
      </c>
      <c r="S105" t="str" cm="1">
        <f t="array" ref="S105">_xlfn.LET(_xlpm.Fin,_xlfn.XLOOKUP(L105,Exp_Shift[Rating],Exp_Shift[Number],0,0),_xlpm.Init,_xlfn.XLOOKUP(L59,Exp_Shift[Rating],Exp_Shift[Number],0,0),_xlpm.X,_xlfn.XLOOKUP(S59,Exp_Shift[Rating],Exp_Shift[Number],0,0), IF(_xlpm.Fin-_xlpm.Init&gt;0, _xlfn.XLOOKUP(MIN(4,_xlpm.X+_xlpm.Fin-_xlpm.Init),Exp_Shift[Number],Exp_Shift[Rating],0,0),IF(_xlpm.Fin-_xlpm.Init&lt;0,_xlfn.XLOOKUP(MAX(0,_xlpm.X-1),Exp_Shift[Number],Exp_Shift[Rating],0,0),S59)))</f>
        <v>E</v>
      </c>
      <c r="T105" t="str" cm="1">
        <f t="array" ref="T105">_xlfn.LET(_xlpm.Fin,_xlfn.XLOOKUP(M105,Exp_Shift[Rating],Exp_Shift[Number],0,0),_xlpm.Init,_xlfn.XLOOKUP(M59,Exp_Shift[Rating],Exp_Shift[Number],0,0),_xlpm.X,_xlfn.XLOOKUP(T59,Exp_Shift[Rating],Exp_Shift[Number],0,0), IF(_xlpm.Fin-_xlpm.Init&gt;0, _xlfn.XLOOKUP(MIN(4,_xlpm.X+_xlpm.Fin-_xlpm.Init),Exp_Shift[Number],Exp_Shift[Rating],0,0),IF(_xlpm.Fin-_xlpm.Init&lt;0,_xlfn.XLOOKUP(MAX(0,_xlpm.X-1),Exp_Shift[Number],Exp_Shift[Rating],0,0),T59)))</f>
        <v>H</v>
      </c>
      <c r="U105" t="str" cm="1">
        <f t="array" ref="U105">_xlfn.LET(_xlpm.Fin,_xlfn.XLOOKUP(N105,Exp_Shift[Rating],Exp_Shift[Number],0,0),_xlpm.Init,_xlfn.XLOOKUP(N59,Exp_Shift[Rating],Exp_Shift[Number],0,0),_xlpm.X,_xlfn.XLOOKUP(U59,Exp_Shift[Rating],Exp_Shift[Number],0,0), IF(_xlpm.Fin-_xlpm.Init&gt;0, _xlfn.XLOOKUP(MIN(4,_xlpm.X+_xlpm.Fin-_xlpm.Init),Exp_Shift[Number],Exp_Shift[Rating],0,0),IF(_xlpm.Fin-_xlpm.Init&lt;0,_xlfn.XLOOKUP(MAX(0,_xlpm.X-1),Exp_Shift[Number],Exp_Shift[Rating],0,0),U59)))</f>
        <v>E</v>
      </c>
      <c r="V105" t="str" cm="1">
        <f t="array" ref="V105">_xlfn.LET(_xlpm.Fin,_xlfn.XLOOKUP(O105,Exp_Shift[Rating],Exp_Shift[Number],0,0),_xlpm.Init,_xlfn.XLOOKUP(O59,Exp_Shift[Rating],Exp_Shift[Number],0,0),_xlpm.X,_xlfn.XLOOKUP(V59,Exp_Shift[Rating],Exp_Shift[Number],0,0), IF(_xlpm.Fin-_xlpm.Init&gt;0, _xlfn.XLOOKUP(MIN(4,_xlpm.X+_xlpm.Fin-_xlpm.Init),Exp_Shift[Number],Exp_Shift[Rating],0,0),IF(_xlpm.Fin-_xlpm.Init&lt;0,_xlfn.XLOOKUP(MAX(0,_xlpm.X-1),Exp_Shift[Number],Exp_Shift[Rating],0,0),V59)))</f>
        <v>M</v>
      </c>
      <c r="W105" t="str" cm="1">
        <f t="array" ref="W105">_xlfn.LET(_xlpm.Fin,_xlfn.XLOOKUP(P105,Exp_Shift[Rating],Exp_Shift[Number],0,0),_xlpm.Init,_xlfn.XLOOKUP(P59,Exp_Shift[Rating],Exp_Shift[Number],0,0),_xlpm.X,_xlfn.XLOOKUP(W59,Exp_Shift[Rating],Exp_Shift[Number],0,0), IF(_xlpm.Fin-_xlpm.Init&gt;0, _xlfn.XLOOKUP(MIN(4,_xlpm.X+_xlpm.Fin-_xlpm.Init),Exp_Shift[Number],Exp_Shift[Rating],0,0),IF(_xlpm.Fin-_xlpm.Init&lt;0,_xlfn.XLOOKUP(MAX(0,_xlpm.X-1),Exp_Shift[Number],Exp_Shift[Rating],0,0),W59)))</f>
        <v>M</v>
      </c>
      <c r="X105" s="19" t="str" cm="1">
        <f t="array" ref="X105">_xlfn.LET(_xlpm.Fin,_xlfn.XLOOKUP(Q105,Exp_Shift[Rating],Exp_Shift[Number],0,0),_xlpm.Init,_xlfn.XLOOKUP(Q59,Exp_Shift[Rating],Exp_Shift[Number],0,0),_xlpm.X,_xlfn.XLOOKUP(X59,Exp_Shift[Rating],Exp_Shift[Number],0,0), IF(_xlpm.Fin-_xlpm.Init&gt;0, _xlfn.XLOOKUP(MIN(4,_xlpm.X+_xlpm.Fin-_xlpm.Init),Exp_Shift[Number],Exp_Shift[Rating],0,0),IF(_xlpm.Fin-_xlpm.Init&lt;0,_xlfn.XLOOKUP(MAX(0,_xlpm.X-1),Exp_Shift[Number],Exp_Shift[Rating],0,0),X59)))</f>
        <v>H</v>
      </c>
      <c r="Y105" s="23" t="str" cm="1">
        <f t="array" ref="Y105">_xlfn.LET(_xlpm.Fin,_xlfn.XLOOKUP(K105,Exp_Shift[Rating],Exp_Shift[Number],0,0),_xlpm.Init,_xlfn.XLOOKUP(K59,Exp_Shift[Rating],Exp_Shift[Number],0,0),_xlpm.X,_xlfn.XLOOKUP(Y59,Exp_Shift[Rating],Exp_Shift[Number],0,0), IF(_xlpm.Fin-_xlpm.Init&gt;0, _xlfn.XLOOKUP(MIN(4,_xlpm.X+1),Exp_Shift[Number],Exp_Shift[Rating],0,0),IF(_xlpm.Fin-_xlpm.Init&lt;0,_xlfn.XLOOKUP(MAX(0,_xlpm.X),Exp_Shift[Number],Exp_Shift[Rating],0,0),Y59)))</f>
        <v>E</v>
      </c>
      <c r="Z105" t="str" cm="1">
        <f t="array" ref="Z105">_xlfn.LET(_xlpm.Fin,_xlfn.XLOOKUP(L105,Exp_Shift[Rating],Exp_Shift[Number],0,0),_xlpm.Init,_xlfn.XLOOKUP(L59,Exp_Shift[Rating],Exp_Shift[Number],0,0),_xlpm.X,_xlfn.XLOOKUP(Z59,Exp_Shift[Rating],Exp_Shift[Number],0,0), IF(_xlpm.Fin-_xlpm.Init&gt;0, _xlfn.XLOOKUP(MIN(4,_xlpm.X+1),Exp_Shift[Number],Exp_Shift[Rating],0,0),IF(_xlpm.Fin-_xlpm.Init&lt;0,_xlfn.XLOOKUP(MAX(0,_xlpm.X),Exp_Shift[Number],Exp_Shift[Rating],0,0),Z59)))</f>
        <v>E</v>
      </c>
      <c r="AA105" t="str" cm="1">
        <f t="array" ref="AA105">_xlfn.LET(_xlpm.Fin,_xlfn.XLOOKUP(M105,Exp_Shift[Rating],Exp_Shift[Number],0,0),_xlpm.Init,_xlfn.XLOOKUP(M59,Exp_Shift[Rating],Exp_Shift[Number],0,0),_xlpm.X,_xlfn.XLOOKUP(AA59,Exp_Shift[Rating],Exp_Shift[Number],0,0), IF(_xlpm.Fin-_xlpm.Init&gt;0, _xlfn.XLOOKUP(MIN(4,_xlpm.X+1),Exp_Shift[Number],Exp_Shift[Rating],0,0),IF(_xlpm.Fin-_xlpm.Init&lt;0,_xlfn.XLOOKUP(MAX(0,_xlpm.X),Exp_Shift[Number],Exp_Shift[Rating],0,0),AA59)))</f>
        <v>E</v>
      </c>
      <c r="AB105" t="str" cm="1">
        <f t="array" ref="AB105">_xlfn.LET(_xlpm.Fin,_xlfn.XLOOKUP(N105,Exp_Shift[Rating],Exp_Shift[Number],0,0),_xlpm.Init,_xlfn.XLOOKUP(N59,Exp_Shift[Rating],Exp_Shift[Number],0,0),_xlpm.X,_xlfn.XLOOKUP(AB59,Exp_Shift[Rating],Exp_Shift[Number],0,0), IF(_xlpm.Fin-_xlpm.Init&gt;0, _xlfn.XLOOKUP(MIN(4,_xlpm.X+1),Exp_Shift[Number],Exp_Shift[Rating],0,0),IF(_xlpm.Fin-_xlpm.Init&lt;0,_xlfn.XLOOKUP(MAX(0,_xlpm.X),Exp_Shift[Number],Exp_Shift[Rating],0,0),AB59)))</f>
        <v>E</v>
      </c>
      <c r="AC105" t="str" cm="1">
        <f t="array" ref="AC105">_xlfn.LET(_xlpm.Fin,_xlfn.XLOOKUP(O105,Exp_Shift[Rating],Exp_Shift[Number],0,0),_xlpm.Init,_xlfn.XLOOKUP(O59,Exp_Shift[Rating],Exp_Shift[Number],0,0),_xlpm.X,_xlfn.XLOOKUP(AC59,Exp_Shift[Rating],Exp_Shift[Number],0,0), IF(_xlpm.Fin-_xlpm.Init&gt;0, _xlfn.XLOOKUP(MIN(4,_xlpm.X+1),Exp_Shift[Number],Exp_Shift[Rating],0,0),IF(_xlpm.Fin-_xlpm.Init&lt;0,_xlfn.XLOOKUP(MAX(0,_xlpm.X),Exp_Shift[Number],Exp_Shift[Rating],0,0),AC59)))</f>
        <v>L</v>
      </c>
      <c r="AD105" t="str" cm="1">
        <f t="array" ref="AD105">_xlfn.LET(_xlpm.Fin,_xlfn.XLOOKUP(P105,Exp_Shift[Rating],Exp_Shift[Number],0,0),_xlpm.Init,_xlfn.XLOOKUP(P59,Exp_Shift[Rating],Exp_Shift[Number],0,0),_xlpm.X,_xlfn.XLOOKUP(AD59,Exp_Shift[Rating],Exp_Shift[Number],0,0), IF(_xlpm.Fin-_xlpm.Init&gt;0, _xlfn.XLOOKUP(MIN(4,_xlpm.X+1),Exp_Shift[Number],Exp_Shift[Rating],0,0),IF(_xlpm.Fin-_xlpm.Init&lt;0,_xlfn.XLOOKUP(MAX(0,_xlpm.X),Exp_Shift[Number],Exp_Shift[Rating],0,0),AD59)))</f>
        <v>L</v>
      </c>
      <c r="AE105" s="27" t="str" cm="1">
        <f t="array" ref="AE105">_xlfn.LET(_xlpm.Fin,_xlfn.XLOOKUP(Q105,Exp_Shift[Rating],Exp_Shift[Number],0,0),_xlpm.Init,_xlfn.XLOOKUP(Q59,Exp_Shift[Rating],Exp_Shift[Number],0,0),_xlpm.X,_xlfn.XLOOKUP(AE59,Exp_Shift[Rating],Exp_Shift[Number],0,0), IF(_xlpm.Fin-_xlpm.Init&gt;0, _xlfn.XLOOKUP(MIN(4,_xlpm.X+1),Exp_Shift[Number],Exp_Shift[Rating],0,0),IF(_xlpm.Fin-_xlpm.Init&lt;0,_xlfn.XLOOKUP(MAX(0,_xlpm.X),Exp_Shift[Number],Exp_Shift[Rating],0,0),AE59)))</f>
        <v>E</v>
      </c>
    </row>
    <row r="106" spans="8:31" ht="18" x14ac:dyDescent="0.35">
      <c r="H106" s="26">
        <v>49</v>
      </c>
      <c r="I106" s="329" t="s">
        <v>111</v>
      </c>
      <c r="J106" s="330" t="s">
        <v>119</v>
      </c>
      <c r="K106" s="103" t="str" cm="1">
        <f t="array" ref="K106">_xlfn.SWITCH(K83,"N/A","L","L","M","M","H","H","E","E","N/A")</f>
        <v>H</v>
      </c>
      <c r="L106" s="17" t="str" cm="1">
        <f t="array" ref="L106">_xlfn.SWITCH(L83,"N/A","L","L","M","M","H","H","E","E","N/A")</f>
        <v>E</v>
      </c>
      <c r="M106" s="17" t="str" cm="1">
        <f t="array" ref="M106">_xlfn.SWITCH(M83,"N/A","L","L","M","M","H","H","E","E","N/A")</f>
        <v>N/A</v>
      </c>
      <c r="N106" s="17" t="str" cm="1">
        <f t="array" ref="N106">_xlfn.SWITCH(N83,"N/A","L","L","M","M","H","H","E","E","N/A")</f>
        <v>E</v>
      </c>
      <c r="O106" s="17" t="str" cm="1">
        <f t="array" ref="O106">_xlfn.SWITCH(O83,"N/A","L","L","M","M","H","H","E","E","N/A")</f>
        <v>M</v>
      </c>
      <c r="P106" s="17" t="str" cm="1">
        <f t="array" ref="P106">_xlfn.SWITCH(P83,"N/A","L","L","M","M","H","H","E","E","N/A")</f>
        <v>M</v>
      </c>
      <c r="Q106" s="97" t="str" cm="1">
        <f t="array" ref="Q106">_xlfn.SWITCH(Q83,"N/A","L","L","M","M","H","H","E","E","N/A")</f>
        <v>N/A</v>
      </c>
      <c r="R106" s="103" t="str" cm="1">
        <f t="array" ref="R106">_xlfn.LET(_xlpm.Fin,_xlfn.XLOOKUP(K106,Exp_Shift[Rating],Exp_Shift[Number],0,0),_xlpm.Init,_xlfn.XLOOKUP(K60,Exp_Shift[Rating],Exp_Shift[Number],0,0),_xlpm.X,_xlfn.XLOOKUP(R60,Exp_Shift[[Rating]:[Rating]],Exp_Shift[[Number]:[Number]],0,0), IF(_xlpm.Fin-_xlpm.Init&gt;0, _xlfn.XLOOKUP(MIN(4,_xlpm.X+_xlpm.Fin-_xlpm.Init),Exp_Shift[[Number]:[Number]],Exp_Shift[[Rating]:[Rating]],0,0),IF(_xlpm.Fin-_xlpm.Init&lt;0,_xlfn.XLOOKUP(MAX(0,_xlpm.X-1),Exp_Shift[[Number]:[Number]],Exp_Shift[[Rating]:[Rating]],0,0),R60)))</f>
        <v>E</v>
      </c>
      <c r="S106" s="17" t="str" cm="1">
        <f t="array" ref="S106">_xlfn.LET(_xlpm.Fin,_xlfn.XLOOKUP(L106,Exp_Shift[[Rating]:[Rating]],Exp_Shift[[Number]:[Number]],0,0),_xlpm.Init,_xlfn.XLOOKUP(L60,Exp_Shift[[Rating]:[Rating]],Exp_Shift[[Number]:[Number]],0,0),_xlpm.X,_xlfn.XLOOKUP(S60,Exp_Shift[[Rating]:[Rating]],Exp_Shift[[Number]:[Number]],0,0), IF(_xlpm.Fin-_xlpm.Init&gt;0, _xlfn.XLOOKUP(MIN(4,_xlpm.X+_xlpm.Fin-_xlpm.Init),Exp_Shift[[Number]:[Number]],Exp_Shift[[Rating]:[Rating]],0,0),IF(_xlpm.Fin-_xlpm.Init&lt;0,_xlfn.XLOOKUP(MAX(0,_xlpm.X-1),Exp_Shift[[Number]:[Number]],Exp_Shift[[Rating]:[Rating]],0,0),S60)))</f>
        <v>E</v>
      </c>
      <c r="T106" s="17" t="str" cm="1">
        <f t="array" ref="T106">_xlfn.LET(_xlpm.Fin,_xlfn.XLOOKUP(M106,Exp_Shift[[Rating]:[Rating]],Exp_Shift[[Number]:[Number]],0,0),_xlpm.Init,_xlfn.XLOOKUP(M60,Exp_Shift[[Rating]:[Rating]],Exp_Shift[[Number]:[Number]],0,0),_xlpm.X,_xlfn.XLOOKUP(T60,Exp_Shift[[Rating]:[Rating]],Exp_Shift[[Number]:[Number]],0,0), IF(_xlpm.Fin-_xlpm.Init&gt;0, _xlfn.XLOOKUP(MIN(4,_xlpm.X+_xlpm.Fin-_xlpm.Init),Exp_Shift[[Number]:[Number]],Exp_Shift[[Rating]:[Rating]],0,0),IF(_xlpm.Fin-_xlpm.Init&lt;0,_xlfn.XLOOKUP(MAX(0,_xlpm.X-1),Exp_Shift[[Number]:[Number]],Exp_Shift[[Rating]:[Rating]],0,0),T60)))</f>
        <v>H</v>
      </c>
      <c r="U106" s="17" t="str" cm="1">
        <f t="array" ref="U106">_xlfn.LET(_xlpm.Fin,_xlfn.XLOOKUP(N106,Exp_Shift[[Rating]:[Rating]],Exp_Shift[[Number]:[Number]],0,0),_xlpm.Init,_xlfn.XLOOKUP(N60,Exp_Shift[[Rating]:[Rating]],Exp_Shift[[Number]:[Number]],0,0),_xlpm.X,_xlfn.XLOOKUP(U60,Exp_Shift[[Rating]:[Rating]],Exp_Shift[[Number]:[Number]],0,0), IF(_xlpm.Fin-_xlpm.Init&gt;0, _xlfn.XLOOKUP(MIN(4,_xlpm.X+_xlpm.Fin-_xlpm.Init),Exp_Shift[[Number]:[Number]],Exp_Shift[[Rating]:[Rating]],0,0),IF(_xlpm.Fin-_xlpm.Init&lt;0,_xlfn.XLOOKUP(MAX(0,_xlpm.X-1),Exp_Shift[[Number]:[Number]],Exp_Shift[[Rating]:[Rating]],0,0),U60)))</f>
        <v>E</v>
      </c>
      <c r="V106" s="17" t="str" cm="1">
        <f t="array" ref="V106">_xlfn.LET(_xlpm.Fin,_xlfn.XLOOKUP(O106,Exp_Shift[[Rating]:[Rating]],Exp_Shift[[Number]:[Number]],0,0),_xlpm.Init,_xlfn.XLOOKUP(O60,Exp_Shift[[Rating]:[Rating]],Exp_Shift[[Number]:[Number]],0,0),_xlpm.X,_xlfn.XLOOKUP(V60,Exp_Shift[[Rating]:[Rating]],Exp_Shift[[Number]:[Number]],0,0), IF(_xlpm.Fin-_xlpm.Init&gt;0, _xlfn.XLOOKUP(MIN(4,_xlpm.X+_xlpm.Fin-_xlpm.Init),Exp_Shift[[Number]:[Number]],Exp_Shift[[Rating]:[Rating]],0,0),IF(_xlpm.Fin-_xlpm.Init&lt;0,_xlfn.XLOOKUP(MAX(0,_xlpm.X-1),Exp_Shift[[Number]:[Number]],Exp_Shift[[Rating]:[Rating]],0,0),V60)))</f>
        <v>M</v>
      </c>
      <c r="W106" s="17" t="str" cm="1">
        <f t="array" ref="W106">_xlfn.LET(_xlpm.Fin,_xlfn.XLOOKUP(P106,Exp_Shift[[Rating]:[Rating]],Exp_Shift[[Number]:[Number]],0,0),_xlpm.Init,_xlfn.XLOOKUP(P60,Exp_Shift[[Rating]:[Rating]],Exp_Shift[[Number]:[Number]],0,0),_xlpm.X,_xlfn.XLOOKUP(W60,Exp_Shift[[Rating]:[Rating]],Exp_Shift[[Number]:[Number]],0,0), IF(_xlpm.Fin-_xlpm.Init&gt;0, _xlfn.XLOOKUP(MIN(4,_xlpm.X+_xlpm.Fin-_xlpm.Init),Exp_Shift[[Number]:[Number]],Exp_Shift[[Rating]:[Rating]],0,0),IF(_xlpm.Fin-_xlpm.Init&lt;0,_xlfn.XLOOKUP(MAX(0,_xlpm.X-1),Exp_Shift[[Number]:[Number]],Exp_Shift[[Rating]:[Rating]],0,0),W60)))</f>
        <v>M</v>
      </c>
      <c r="X106" s="97" t="str" cm="1">
        <f t="array" ref="X106">_xlfn.LET(_xlpm.Fin,_xlfn.XLOOKUP(Q106,Exp_Shift[[Rating]:[Rating]],Exp_Shift[[Number]:[Number]],0,0),_xlpm.Init,_xlfn.XLOOKUP(Q60,Exp_Shift[[Rating]:[Rating]],Exp_Shift[[Number]:[Number]],0,0),_xlpm.X,_xlfn.XLOOKUP(X60,Exp_Shift[[Rating]:[Rating]],Exp_Shift[[Number]:[Number]],0,0), IF(_xlpm.Fin-_xlpm.Init&gt;0, _xlfn.XLOOKUP(MIN(4,_xlpm.X+_xlpm.Fin-_xlpm.Init),Exp_Shift[[Number]:[Number]],Exp_Shift[[Rating]:[Rating]],0,0),IF(_xlpm.Fin-_xlpm.Init&lt;0,_xlfn.XLOOKUP(MAX(0,_xlpm.X-1),Exp_Shift[[Number]:[Number]],Exp_Shift[[Rating]:[Rating]],0,0),X60)))</f>
        <v>H</v>
      </c>
      <c r="Y106" s="103" t="str" cm="1">
        <f t="array" ref="Y106">_xlfn.LET(_xlpm.Fin,_xlfn.XLOOKUP(K106,Exp_Shift[Rating],Exp_Shift[Number],0,0),_xlpm.Init,_xlfn.XLOOKUP(K60,Exp_Shift[Rating],Exp_Shift[Number],0,0),_xlpm.X,_xlfn.XLOOKUP(Y60,Exp_Shift[[Rating]:[Rating]],Exp_Shift[[Number]:[Number]],0,0), IF(_xlpm.Fin-_xlpm.Init&gt;0, _xlfn.XLOOKUP(MIN(4,_xlpm.X+1),Exp_Shift[[Number]:[Number]],Exp_Shift[[Rating]:[Rating]],0,0),IF(_xlpm.Fin-_xlpm.Init&lt;0,_xlfn.XLOOKUP(MAX(0,_xlpm.X),Exp_Shift[[Number]:[Number]],Exp_Shift[[Rating]:[Rating]],0,0),Y60)))</f>
        <v>E</v>
      </c>
      <c r="Z106" s="17" t="str" cm="1">
        <f t="array" ref="Z106">_xlfn.LET(_xlpm.Fin,_xlfn.XLOOKUP(L106,Exp_Shift[[Rating]:[Rating]],Exp_Shift[[Number]:[Number]],0,0),_xlpm.Init,_xlfn.XLOOKUP(L60,Exp_Shift[[Rating]:[Rating]],Exp_Shift[[Number]:[Number]],0,0),_xlpm.X,_xlfn.XLOOKUP(Z60,Exp_Shift[[Rating]:[Rating]],Exp_Shift[[Number]:[Number]],0,0), IF(_xlpm.Fin-_xlpm.Init&gt;0, _xlfn.XLOOKUP(MIN(4,_xlpm.X+1),Exp_Shift[[Number]:[Number]],Exp_Shift[[Rating]:[Rating]],0,0),IF(_xlpm.Fin-_xlpm.Init&lt;0,_xlfn.XLOOKUP(MAX(0,_xlpm.X),Exp_Shift[[Number]:[Number]],Exp_Shift[[Rating]:[Rating]],0,0),Z60)))</f>
        <v>E</v>
      </c>
      <c r="AA106" s="17" t="str" cm="1">
        <f t="array" ref="AA106">_xlfn.LET(_xlpm.Fin,_xlfn.XLOOKUP(M106,Exp_Shift[[Rating]:[Rating]],Exp_Shift[[Number]:[Number]],0,0),_xlpm.Init,_xlfn.XLOOKUP(M60,Exp_Shift[[Rating]:[Rating]],Exp_Shift[[Number]:[Number]],0,0),_xlpm.X,_xlfn.XLOOKUP(AA60,Exp_Shift[[Rating]:[Rating]],Exp_Shift[[Number]:[Number]],0,0), IF(_xlpm.Fin-_xlpm.Init&gt;0, _xlfn.XLOOKUP(MIN(4,_xlpm.X+1),Exp_Shift[[Number]:[Number]],Exp_Shift[[Rating]:[Rating]],0,0),IF(_xlpm.Fin-_xlpm.Init&lt;0,_xlfn.XLOOKUP(MAX(0,_xlpm.X),Exp_Shift[[Number]:[Number]],Exp_Shift[[Rating]:[Rating]],0,0),AA60)))</f>
        <v>E</v>
      </c>
      <c r="AB106" s="17" t="str" cm="1">
        <f t="array" ref="AB106">_xlfn.LET(_xlpm.Fin,_xlfn.XLOOKUP(N106,Exp_Shift[[Rating]:[Rating]],Exp_Shift[[Number]:[Number]],0,0),_xlpm.Init,_xlfn.XLOOKUP(N60,Exp_Shift[[Rating]:[Rating]],Exp_Shift[[Number]:[Number]],0,0),_xlpm.X,_xlfn.XLOOKUP(AB60,Exp_Shift[[Rating]:[Rating]],Exp_Shift[[Number]:[Number]],0,0), IF(_xlpm.Fin-_xlpm.Init&gt;0, _xlfn.XLOOKUP(MIN(4,_xlpm.X+1),Exp_Shift[[Number]:[Number]],Exp_Shift[[Rating]:[Rating]],0,0),IF(_xlpm.Fin-_xlpm.Init&lt;0,_xlfn.XLOOKUP(MAX(0,_xlpm.X),Exp_Shift[[Number]:[Number]],Exp_Shift[[Rating]:[Rating]],0,0),AB60)))</f>
        <v>E</v>
      </c>
      <c r="AC106" s="17" t="str" cm="1">
        <f t="array" ref="AC106">_xlfn.LET(_xlpm.Fin,_xlfn.XLOOKUP(O106,Exp_Shift[[Rating]:[Rating]],Exp_Shift[[Number]:[Number]],0,0),_xlpm.Init,_xlfn.XLOOKUP(O60,Exp_Shift[[Rating]:[Rating]],Exp_Shift[[Number]:[Number]],0,0),_xlpm.X,_xlfn.XLOOKUP(AC60,Exp_Shift[[Rating]:[Rating]],Exp_Shift[[Number]:[Number]],0,0), IF(_xlpm.Fin-_xlpm.Init&gt;0, _xlfn.XLOOKUP(MIN(4,_xlpm.X+1),Exp_Shift[[Number]:[Number]],Exp_Shift[[Rating]:[Rating]],0,0),IF(_xlpm.Fin-_xlpm.Init&lt;0,_xlfn.XLOOKUP(MAX(0,_xlpm.X),Exp_Shift[[Number]:[Number]],Exp_Shift[[Rating]:[Rating]],0,0),AC60)))</f>
        <v>L</v>
      </c>
      <c r="AD106" s="17" t="str" cm="1">
        <f t="array" ref="AD106">_xlfn.LET(_xlpm.Fin,_xlfn.XLOOKUP(P106,Exp_Shift[[Rating]:[Rating]],Exp_Shift[[Number]:[Number]],0,0),_xlpm.Init,_xlfn.XLOOKUP(P60,Exp_Shift[[Rating]:[Rating]],Exp_Shift[[Number]:[Number]],0,0),_xlpm.X,_xlfn.XLOOKUP(AD60,Exp_Shift[[Rating]:[Rating]],Exp_Shift[[Number]:[Number]],0,0), IF(_xlpm.Fin-_xlpm.Init&gt;0, _xlfn.XLOOKUP(MIN(4,_xlpm.X+1),Exp_Shift[[Number]:[Number]],Exp_Shift[[Rating]:[Rating]],0,0),IF(_xlpm.Fin-_xlpm.Init&lt;0,_xlfn.XLOOKUP(MAX(0,_xlpm.X),Exp_Shift[[Number]:[Number]],Exp_Shift[[Rating]:[Rating]],0,0),AD60)))</f>
        <v>L</v>
      </c>
      <c r="AE106" s="341" t="str" cm="1">
        <f t="array" ref="AE106">_xlfn.LET(_xlpm.Fin,_xlfn.XLOOKUP(Q106,Exp_Shift[[Rating]:[Rating]],Exp_Shift[[Number]:[Number]],0,0),_xlpm.Init,_xlfn.XLOOKUP(Q60,Exp_Shift[[Rating]:[Rating]],Exp_Shift[[Number]:[Number]],0,0),_xlpm.X,_xlfn.XLOOKUP(AE60,Exp_Shift[[Rating]:[Rating]],Exp_Shift[[Number]:[Number]],0,0), IF(_xlpm.Fin-_xlpm.Init&gt;0, _xlfn.XLOOKUP(MIN(4,_xlpm.X+1),Exp_Shift[[Number]:[Number]],Exp_Shift[[Rating]:[Rating]],0,0),IF(_xlpm.Fin-_xlpm.Init&lt;0,_xlfn.XLOOKUP(MAX(0,_xlpm.X),Exp_Shift[[Number]:[Number]],Exp_Shift[[Rating]:[Rating]],0,0),AE60)))</f>
        <v>E</v>
      </c>
    </row>
    <row r="107" spans="8:31" ht="18" x14ac:dyDescent="0.35">
      <c r="H107" s="26">
        <v>50</v>
      </c>
      <c r="I107" s="331" t="s">
        <v>120</v>
      </c>
      <c r="J107" s="326" t="s">
        <v>210</v>
      </c>
      <c r="K107" s="23" t="str" cm="1">
        <f t="array" ref="K107">_xlfn.SWITCH(K84,"N/A","L","L","M","M","H","H","E","E","N/A")</f>
        <v>E</v>
      </c>
      <c r="L107" t="str" cm="1">
        <f t="array" ref="L107">_xlfn.SWITCH(L84,"N/A","L","L","M","M","H","H","E","E","N/A")</f>
        <v>E</v>
      </c>
      <c r="M107" t="str" cm="1">
        <f t="array" ref="M107">_xlfn.SWITCH(M84,"N/A","L","L","M","M","H","H","E","E","N/A")</f>
        <v>N/A</v>
      </c>
      <c r="N107" t="str" cm="1">
        <f t="array" ref="N107">_xlfn.SWITCH(N84,"N/A","L","L","M","M","H","H","E","E","N/A")</f>
        <v>E</v>
      </c>
      <c r="O107" t="str" cm="1">
        <f t="array" ref="O107">_xlfn.SWITCH(O84,"N/A","L","L","M","M","H","H","E","E","N/A")</f>
        <v>M</v>
      </c>
      <c r="P107" t="str" cm="1">
        <f t="array" ref="P107">_xlfn.SWITCH(P84,"N/A","L","L","M","M","H","H","E","E","N/A")</f>
        <v>M</v>
      </c>
      <c r="Q107" s="19" t="str" cm="1">
        <f t="array" ref="Q107">_xlfn.SWITCH(Q84,"N/A","L","L","M","M","H","H","E","E","N/A")</f>
        <v>E</v>
      </c>
      <c r="R107" s="23" t="str" cm="1">
        <f t="array" ref="R107">_xlfn.LET(_xlpm.Fin,_xlfn.XLOOKUP(K107,Exp_Shift[[Rating]:[Rating]],Exp_Shift[[Number]:[Number]],0,0),_xlpm.Init,_xlfn.XLOOKUP(K61,Exp_Shift[[Rating]:[Rating]],Exp_Shift[[Number]:[Number]],0,0),_xlpm.X,_xlfn.XLOOKUP(R61,Exp_Shift[[Rating]:[Rating]],Exp_Shift[[Number]:[Number]],0,0), IF(_xlpm.Fin-_xlpm.Init&gt;0, _xlfn.XLOOKUP(MIN(4,_xlpm.X+_xlpm.Fin-_xlpm.Init),Exp_Shift[[Number]:[Number]],Exp_Shift[[Rating]:[Rating]],0,0),IF(_xlpm.Fin-_xlpm.Init&lt;0,_xlfn.XLOOKUP(MAX(0,_xlpm.X-1),Exp_Shift[[Number]:[Number]],Exp_Shift[[Rating]:[Rating]],0,0),R61)))</f>
        <v>E</v>
      </c>
      <c r="S107" t="str" cm="1">
        <f t="array" ref="S107">_xlfn.LET(_xlpm.Fin,_xlfn.XLOOKUP(L107,Exp_Shift[[Rating]:[Rating]],Exp_Shift[[Number]:[Number]],0,0),_xlpm.Init,_xlfn.XLOOKUP(L61,Exp_Shift[[Rating]:[Rating]],Exp_Shift[[Number]:[Number]],0,0),_xlpm.X,_xlfn.XLOOKUP(S61,Exp_Shift[[Rating]:[Rating]],Exp_Shift[[Number]:[Number]],0,0), IF(_xlpm.Fin-_xlpm.Init&gt;0, _xlfn.XLOOKUP(MIN(4,_xlpm.X+_xlpm.Fin-_xlpm.Init),Exp_Shift[[Number]:[Number]],Exp_Shift[[Rating]:[Rating]],0,0),IF(_xlpm.Fin-_xlpm.Init&lt;0,_xlfn.XLOOKUP(MAX(0,_xlpm.X-1),Exp_Shift[[Number]:[Number]],Exp_Shift[[Rating]:[Rating]],0,0),S61)))</f>
        <v>E</v>
      </c>
      <c r="T107" t="str" cm="1">
        <f t="array" ref="T107">_xlfn.LET(_xlpm.Fin,_xlfn.XLOOKUP(M107,Exp_Shift[[Rating]:[Rating]],Exp_Shift[[Number]:[Number]],0,0),_xlpm.Init,_xlfn.XLOOKUP(M61,Exp_Shift[[Rating]:[Rating]],Exp_Shift[[Number]:[Number]],0,0),_xlpm.X,_xlfn.XLOOKUP(T61,Exp_Shift[[Rating]:[Rating]],Exp_Shift[[Number]:[Number]],0,0), IF(_xlpm.Fin-_xlpm.Init&gt;0, _xlfn.XLOOKUP(MIN(4,_xlpm.X+_xlpm.Fin-_xlpm.Init),Exp_Shift[[Number]:[Number]],Exp_Shift[[Rating]:[Rating]],0,0),IF(_xlpm.Fin-_xlpm.Init&lt;0,_xlfn.XLOOKUP(MAX(0,_xlpm.X-1),Exp_Shift[[Number]:[Number]],Exp_Shift[[Rating]:[Rating]],0,0),T61)))</f>
        <v>H</v>
      </c>
      <c r="U107" t="str" cm="1">
        <f t="array" ref="U107">_xlfn.LET(_xlpm.Fin,_xlfn.XLOOKUP(N107,Exp_Shift[[Rating]:[Rating]],Exp_Shift[[Number]:[Number]],0,0),_xlpm.Init,_xlfn.XLOOKUP(N61,Exp_Shift[[Rating]:[Rating]],Exp_Shift[[Number]:[Number]],0,0),_xlpm.X,_xlfn.XLOOKUP(U61,Exp_Shift[[Rating]:[Rating]],Exp_Shift[[Number]:[Number]],0,0), IF(_xlpm.Fin-_xlpm.Init&gt;0, _xlfn.XLOOKUP(MIN(4,_xlpm.X+_xlpm.Fin-_xlpm.Init),Exp_Shift[[Number]:[Number]],Exp_Shift[[Rating]:[Rating]],0,0),IF(_xlpm.Fin-_xlpm.Init&lt;0,_xlfn.XLOOKUP(MAX(0,_xlpm.X-1),Exp_Shift[[Number]:[Number]],Exp_Shift[[Rating]:[Rating]],0,0),U61)))</f>
        <v>E</v>
      </c>
      <c r="V107" t="str" cm="1">
        <f t="array" ref="V107">_xlfn.LET(_xlpm.Fin,_xlfn.XLOOKUP(O107,Exp_Shift[[Rating]:[Rating]],Exp_Shift[[Number]:[Number]],0,0),_xlpm.Init,_xlfn.XLOOKUP(O61,Exp_Shift[[Rating]:[Rating]],Exp_Shift[[Number]:[Number]],0,0),_xlpm.X,_xlfn.XLOOKUP(V61,Exp_Shift[[Rating]:[Rating]],Exp_Shift[[Number]:[Number]],0,0), IF(_xlpm.Fin-_xlpm.Init&gt;0, _xlfn.XLOOKUP(MIN(4,_xlpm.X+_xlpm.Fin-_xlpm.Init),Exp_Shift[[Number]:[Number]],Exp_Shift[[Rating]:[Rating]],0,0),IF(_xlpm.Fin-_xlpm.Init&lt;0,_xlfn.XLOOKUP(MAX(0,_xlpm.X-1),Exp_Shift[[Number]:[Number]],Exp_Shift[[Rating]:[Rating]],0,0),V61)))</f>
        <v>M</v>
      </c>
      <c r="W107" t="str" cm="1">
        <f t="array" ref="W107">_xlfn.LET(_xlpm.Fin,_xlfn.XLOOKUP(P107,Exp_Shift[[Rating]:[Rating]],Exp_Shift[[Number]:[Number]],0,0),_xlpm.Init,_xlfn.XLOOKUP(P61,Exp_Shift[[Rating]:[Rating]],Exp_Shift[[Number]:[Number]],0,0),_xlpm.X,_xlfn.XLOOKUP(W61,Exp_Shift[[Rating]:[Rating]],Exp_Shift[[Number]:[Number]],0,0), IF(_xlpm.Fin-_xlpm.Init&gt;0, _xlfn.XLOOKUP(MIN(4,_xlpm.X+_xlpm.Fin-_xlpm.Init),Exp_Shift[[Number]:[Number]],Exp_Shift[[Rating]:[Rating]],0,0),IF(_xlpm.Fin-_xlpm.Init&lt;0,_xlfn.XLOOKUP(MAX(0,_xlpm.X-1),Exp_Shift[[Number]:[Number]],Exp_Shift[[Rating]:[Rating]],0,0),W61)))</f>
        <v>M</v>
      </c>
      <c r="X107" s="19" t="str" cm="1">
        <f t="array" ref="X107">_xlfn.LET(_xlpm.Fin,_xlfn.XLOOKUP(Q107,Exp_Shift[[Rating]:[Rating]],Exp_Shift[[Number]:[Number]],0,0),_xlpm.Init,_xlfn.XLOOKUP(Q61,Exp_Shift[[Rating]:[Rating]],Exp_Shift[[Number]:[Number]],0,0),_xlpm.X,_xlfn.XLOOKUP(X61,Exp_Shift[[Rating]:[Rating]],Exp_Shift[[Number]:[Number]],0,0), IF(_xlpm.Fin-_xlpm.Init&gt;0, _xlfn.XLOOKUP(MIN(4,_xlpm.X+_xlpm.Fin-_xlpm.Init),Exp_Shift[[Number]:[Number]],Exp_Shift[[Rating]:[Rating]],0,0),IF(_xlpm.Fin-_xlpm.Init&lt;0,_xlfn.XLOOKUP(MAX(0,_xlpm.X-1),Exp_Shift[[Number]:[Number]],Exp_Shift[[Rating]:[Rating]],0,0),X61)))</f>
        <v>E</v>
      </c>
      <c r="Y107" s="23" t="str" cm="1">
        <f t="array" ref="Y107">_xlfn.LET(_xlpm.Fin,_xlfn.XLOOKUP(K107,Exp_Shift[[Rating]:[Rating]],Exp_Shift[[Number]:[Number]],0,0),_xlpm.Init,_xlfn.XLOOKUP(K61,Exp_Shift[[Rating]:[Rating]],Exp_Shift[[Number]:[Number]],0,0),_xlpm.X,_xlfn.XLOOKUP(Y61,Exp_Shift[[Rating]:[Rating]],Exp_Shift[[Number]:[Number]],0,0), IF(_xlpm.Fin-_xlpm.Init&gt;0, _xlfn.XLOOKUP(MIN(4,_xlpm.X+1),Exp_Shift[[Number]:[Number]],Exp_Shift[[Rating]:[Rating]],0,0),IF(_xlpm.Fin-_xlpm.Init&lt;0,_xlfn.XLOOKUP(MAX(0,_xlpm.X),Exp_Shift[[Number]:[Number]],Exp_Shift[[Rating]:[Rating]],0,0),Y61)))</f>
        <v>E</v>
      </c>
      <c r="Z107" t="str" cm="1">
        <f t="array" ref="Z107">_xlfn.LET(_xlpm.Fin,_xlfn.XLOOKUP(L107,Exp_Shift[[Rating]:[Rating]],Exp_Shift[[Number]:[Number]],0,0),_xlpm.Init,_xlfn.XLOOKUP(L61,Exp_Shift[[Rating]:[Rating]],Exp_Shift[[Number]:[Number]],0,0),_xlpm.X,_xlfn.XLOOKUP(Z61,Exp_Shift[[Rating]:[Rating]],Exp_Shift[[Number]:[Number]],0,0), IF(_xlpm.Fin-_xlpm.Init&gt;0, _xlfn.XLOOKUP(MIN(4,_xlpm.X+1),Exp_Shift[[Number]:[Number]],Exp_Shift[[Rating]:[Rating]],0,0),IF(_xlpm.Fin-_xlpm.Init&lt;0,_xlfn.XLOOKUP(MAX(0,_xlpm.X),Exp_Shift[[Number]:[Number]],Exp_Shift[[Rating]:[Rating]],0,0),Z61)))</f>
        <v>E</v>
      </c>
      <c r="AA107" t="str" cm="1">
        <f t="array" ref="AA107">_xlfn.LET(_xlpm.Fin,_xlfn.XLOOKUP(M107,Exp_Shift[[Rating]:[Rating]],Exp_Shift[[Number]:[Number]],0,0),_xlpm.Init,_xlfn.XLOOKUP(M61,Exp_Shift[[Rating]:[Rating]],Exp_Shift[[Number]:[Number]],0,0),_xlpm.X,_xlfn.XLOOKUP(AA61,Exp_Shift[[Rating]:[Rating]],Exp_Shift[[Number]:[Number]],0,0), IF(_xlpm.Fin-_xlpm.Init&gt;0, _xlfn.XLOOKUP(MIN(4,_xlpm.X+1),Exp_Shift[[Number]:[Number]],Exp_Shift[[Rating]:[Rating]],0,0),IF(_xlpm.Fin-_xlpm.Init&lt;0,_xlfn.XLOOKUP(MAX(0,_xlpm.X),Exp_Shift[[Number]:[Number]],Exp_Shift[[Rating]:[Rating]],0,0),AA61)))</f>
        <v>E</v>
      </c>
      <c r="AB107" t="str" cm="1">
        <f t="array" ref="AB107">_xlfn.LET(_xlpm.Fin,_xlfn.XLOOKUP(N107,Exp_Shift[[Rating]:[Rating]],Exp_Shift[[Number]:[Number]],0,0),_xlpm.Init,_xlfn.XLOOKUP(N61,Exp_Shift[[Rating]:[Rating]],Exp_Shift[[Number]:[Number]],0,0),_xlpm.X,_xlfn.XLOOKUP(AB61,Exp_Shift[[Rating]:[Rating]],Exp_Shift[[Number]:[Number]],0,0), IF(_xlpm.Fin-_xlpm.Init&gt;0, _xlfn.XLOOKUP(MIN(4,_xlpm.X+1),Exp_Shift[[Number]:[Number]],Exp_Shift[[Rating]:[Rating]],0,0),IF(_xlpm.Fin-_xlpm.Init&lt;0,_xlfn.XLOOKUP(MAX(0,_xlpm.X),Exp_Shift[[Number]:[Number]],Exp_Shift[[Rating]:[Rating]],0,0),AB61)))</f>
        <v>E</v>
      </c>
      <c r="AC107" t="str" cm="1">
        <f t="array" ref="AC107">_xlfn.LET(_xlpm.Fin,_xlfn.XLOOKUP(O107,Exp_Shift[[Rating]:[Rating]],Exp_Shift[[Number]:[Number]],0,0),_xlpm.Init,_xlfn.XLOOKUP(O61,Exp_Shift[[Rating]:[Rating]],Exp_Shift[[Number]:[Number]],0,0),_xlpm.X,_xlfn.XLOOKUP(AC61,Exp_Shift[[Rating]:[Rating]],Exp_Shift[[Number]:[Number]],0,0), IF(_xlpm.Fin-_xlpm.Init&gt;0, _xlfn.XLOOKUP(MIN(4,_xlpm.X+1),Exp_Shift[[Number]:[Number]],Exp_Shift[[Rating]:[Rating]],0,0),IF(_xlpm.Fin-_xlpm.Init&lt;0,_xlfn.XLOOKUP(MAX(0,_xlpm.X),Exp_Shift[[Number]:[Number]],Exp_Shift[[Rating]:[Rating]],0,0),AC61)))</f>
        <v>L</v>
      </c>
      <c r="AD107" t="str" cm="1">
        <f t="array" ref="AD107">_xlfn.LET(_xlpm.Fin,_xlfn.XLOOKUP(P107,Exp_Shift[[Rating]:[Rating]],Exp_Shift[[Number]:[Number]],0,0),_xlpm.Init,_xlfn.XLOOKUP(P61,Exp_Shift[[Rating]:[Rating]],Exp_Shift[[Number]:[Number]],0,0),_xlpm.X,_xlfn.XLOOKUP(AD61,Exp_Shift[[Rating]:[Rating]],Exp_Shift[[Number]:[Number]],0,0), IF(_xlpm.Fin-_xlpm.Init&gt;0, _xlfn.XLOOKUP(MIN(4,_xlpm.X+1),Exp_Shift[[Number]:[Number]],Exp_Shift[[Rating]:[Rating]],0,0),IF(_xlpm.Fin-_xlpm.Init&lt;0,_xlfn.XLOOKUP(MAX(0,_xlpm.X),Exp_Shift[[Number]:[Number]],Exp_Shift[[Rating]:[Rating]],0,0),AD61)))</f>
        <v>L</v>
      </c>
      <c r="AE107" s="27" t="str" cm="1">
        <f t="array" ref="AE107">_xlfn.LET(_xlpm.Fin,_xlfn.XLOOKUP(Q107,Exp_Shift[[Rating]:[Rating]],Exp_Shift[[Number]:[Number]],0,0),_xlpm.Init,_xlfn.XLOOKUP(Q61,Exp_Shift[[Rating]:[Rating]],Exp_Shift[[Number]:[Number]],0,0),_xlpm.X,_xlfn.XLOOKUP(AE61,Exp_Shift[[Rating]:[Rating]],Exp_Shift[[Number]:[Number]],0,0), IF(_xlpm.Fin-_xlpm.Init&gt;0, _xlfn.XLOOKUP(MIN(4,_xlpm.X+1),Exp_Shift[[Number]:[Number]],Exp_Shift[[Rating]:[Rating]],0,0),IF(_xlpm.Fin-_xlpm.Init&lt;0,_xlfn.XLOOKUP(MAX(0,_xlpm.X),Exp_Shift[[Number]:[Number]],Exp_Shift[[Rating]:[Rating]],0,0),AE61)))</f>
        <v>E</v>
      </c>
    </row>
    <row r="108" spans="8:31" ht="18" x14ac:dyDescent="0.35">
      <c r="H108" s="26">
        <v>51</v>
      </c>
      <c r="I108" s="332" t="s">
        <v>120</v>
      </c>
      <c r="J108" s="328" t="s">
        <v>218</v>
      </c>
      <c r="K108" s="23" t="str" cm="1">
        <f t="array" ref="K108">_xlfn.SWITCH(K85,"N/A","L","L","M","M","H","H","E","E","N/A")</f>
        <v>E</v>
      </c>
      <c r="L108" t="str" cm="1">
        <f t="array" ref="L108">_xlfn.SWITCH(L85,"N/A","L","L","M","M","H","H","E","E","N/A")</f>
        <v>E</v>
      </c>
      <c r="M108" t="str" cm="1">
        <f t="array" ref="M108">_xlfn.SWITCH(M85,"N/A","L","L","M","M","H","H","E","E","N/A")</f>
        <v>N/A</v>
      </c>
      <c r="N108" t="str" cm="1">
        <f t="array" ref="N108">_xlfn.SWITCH(N85,"N/A","L","L","M","M","H","H","E","E","N/A")</f>
        <v>H</v>
      </c>
      <c r="O108" t="str" cm="1">
        <f t="array" ref="O108">_xlfn.SWITCH(O85,"N/A","L","L","M","M","H","H","E","E","N/A")</f>
        <v>M</v>
      </c>
      <c r="P108" t="str" cm="1">
        <f t="array" ref="P108">_xlfn.SWITCH(P85,"N/A","L","L","M","M","H","H","E","E","N/A")</f>
        <v>E</v>
      </c>
      <c r="Q108" s="19" t="str" cm="1">
        <f t="array" ref="Q108">_xlfn.SWITCH(Q85,"N/A","L","L","M","M","H","H","E","E","N/A")</f>
        <v>E</v>
      </c>
      <c r="R108" s="23" t="str" cm="1">
        <f t="array" ref="R108">_xlfn.LET(_xlpm.Fin,_xlfn.XLOOKUP(K108,Exp_Shift[[Rating]:[Rating]],Exp_Shift[[Number]:[Number]],0,0),_xlpm.Init,_xlfn.XLOOKUP(K62,Exp_Shift[[Rating]:[Rating]],Exp_Shift[[Number]:[Number]],0,0),_xlpm.X,_xlfn.XLOOKUP(R62,Exp_Shift[[Rating]:[Rating]],Exp_Shift[[Number]:[Number]],0,0), IF(_xlpm.Fin-_xlpm.Init&gt;0, _xlfn.XLOOKUP(MIN(4,_xlpm.X+_xlpm.Fin-_xlpm.Init),Exp_Shift[[Number]:[Number]],Exp_Shift[[Rating]:[Rating]],0,0),IF(_xlpm.Fin-_xlpm.Init&lt;0,_xlfn.XLOOKUP(MAX(0,_xlpm.X-1),Exp_Shift[[Number]:[Number]],Exp_Shift[[Rating]:[Rating]],0,0),R62)))</f>
        <v>E</v>
      </c>
      <c r="S108" t="str" cm="1">
        <f t="array" ref="S108">_xlfn.LET(_xlpm.Fin,_xlfn.XLOOKUP(L108,Exp_Shift[[Rating]:[Rating]],Exp_Shift[[Number]:[Number]],0,0),_xlpm.Init,_xlfn.XLOOKUP(L62,Exp_Shift[[Rating]:[Rating]],Exp_Shift[[Number]:[Number]],0,0),_xlpm.X,_xlfn.XLOOKUP(S62,Exp_Shift[[Rating]:[Rating]],Exp_Shift[[Number]:[Number]],0,0), IF(_xlpm.Fin-_xlpm.Init&gt;0, _xlfn.XLOOKUP(MIN(4,_xlpm.X+_xlpm.Fin-_xlpm.Init),Exp_Shift[[Number]:[Number]],Exp_Shift[[Rating]:[Rating]],0,0),IF(_xlpm.Fin-_xlpm.Init&lt;0,_xlfn.XLOOKUP(MAX(0,_xlpm.X-1),Exp_Shift[[Number]:[Number]],Exp_Shift[[Rating]:[Rating]],0,0),S62)))</f>
        <v>E</v>
      </c>
      <c r="T108" t="str" cm="1">
        <f t="array" ref="T108">_xlfn.LET(_xlpm.Fin,_xlfn.XLOOKUP(M108,Exp_Shift[[Rating]:[Rating]],Exp_Shift[[Number]:[Number]],0,0),_xlpm.Init,_xlfn.XLOOKUP(M62,Exp_Shift[[Rating]:[Rating]],Exp_Shift[[Number]:[Number]],0,0),_xlpm.X,_xlfn.XLOOKUP(T62,Exp_Shift[[Rating]:[Rating]],Exp_Shift[[Number]:[Number]],0,0), IF(_xlpm.Fin-_xlpm.Init&gt;0, _xlfn.XLOOKUP(MIN(4,_xlpm.X+_xlpm.Fin-_xlpm.Init),Exp_Shift[[Number]:[Number]],Exp_Shift[[Rating]:[Rating]],0,0),IF(_xlpm.Fin-_xlpm.Init&lt;0,_xlfn.XLOOKUP(MAX(0,_xlpm.X-1),Exp_Shift[[Number]:[Number]],Exp_Shift[[Rating]:[Rating]],0,0),T62)))</f>
        <v>H</v>
      </c>
      <c r="U108" t="str" cm="1">
        <f t="array" ref="U108">_xlfn.LET(_xlpm.Fin,_xlfn.XLOOKUP(N108,Exp_Shift[[Rating]:[Rating]],Exp_Shift[[Number]:[Number]],0,0),_xlpm.Init,_xlfn.XLOOKUP(N62,Exp_Shift[[Rating]:[Rating]],Exp_Shift[[Number]:[Number]],0,0),_xlpm.X,_xlfn.XLOOKUP(U62,Exp_Shift[[Rating]:[Rating]],Exp_Shift[[Number]:[Number]],0,0), IF(_xlpm.Fin-_xlpm.Init&gt;0, _xlfn.XLOOKUP(MIN(4,_xlpm.X+_xlpm.Fin-_xlpm.Init),Exp_Shift[[Number]:[Number]],Exp_Shift[[Rating]:[Rating]],0,0),IF(_xlpm.Fin-_xlpm.Init&lt;0,_xlfn.XLOOKUP(MAX(0,_xlpm.X-1),Exp_Shift[[Number]:[Number]],Exp_Shift[[Rating]:[Rating]],0,0),U62)))</f>
        <v>E</v>
      </c>
      <c r="V108" t="str" cm="1">
        <f t="array" ref="V108">_xlfn.LET(_xlpm.Fin,_xlfn.XLOOKUP(O108,Exp_Shift[[Rating]:[Rating]],Exp_Shift[[Number]:[Number]],0,0),_xlpm.Init,_xlfn.XLOOKUP(O62,Exp_Shift[[Rating]:[Rating]],Exp_Shift[[Number]:[Number]],0,0),_xlpm.X,_xlfn.XLOOKUP(V62,Exp_Shift[[Rating]:[Rating]],Exp_Shift[[Number]:[Number]],0,0), IF(_xlpm.Fin-_xlpm.Init&gt;0, _xlfn.XLOOKUP(MIN(4,_xlpm.X+_xlpm.Fin-_xlpm.Init),Exp_Shift[[Number]:[Number]],Exp_Shift[[Rating]:[Rating]],0,0),IF(_xlpm.Fin-_xlpm.Init&lt;0,_xlfn.XLOOKUP(MAX(0,_xlpm.X-1),Exp_Shift[[Number]:[Number]],Exp_Shift[[Rating]:[Rating]],0,0),V62)))</f>
        <v>M</v>
      </c>
      <c r="W108" t="str" cm="1">
        <f t="array" ref="W108">_xlfn.LET(_xlpm.Fin,_xlfn.XLOOKUP(P108,Exp_Shift[[Rating]:[Rating]],Exp_Shift[[Number]:[Number]],0,0),_xlpm.Init,_xlfn.XLOOKUP(P62,Exp_Shift[[Rating]:[Rating]],Exp_Shift[[Number]:[Number]],0,0),_xlpm.X,_xlfn.XLOOKUP(W62,Exp_Shift[[Rating]:[Rating]],Exp_Shift[[Number]:[Number]],0,0), IF(_xlpm.Fin-_xlpm.Init&gt;0, _xlfn.XLOOKUP(MIN(4,_xlpm.X+_xlpm.Fin-_xlpm.Init),Exp_Shift[[Number]:[Number]],Exp_Shift[[Rating]:[Rating]],0,0),IF(_xlpm.Fin-_xlpm.Init&lt;0,_xlfn.XLOOKUP(MAX(0,_xlpm.X-1),Exp_Shift[[Number]:[Number]],Exp_Shift[[Rating]:[Rating]],0,0),W62)))</f>
        <v>E</v>
      </c>
      <c r="X108" s="19" t="str" cm="1">
        <f t="array" ref="X108">_xlfn.LET(_xlpm.Fin,_xlfn.XLOOKUP(Q108,Exp_Shift[[Rating]:[Rating]],Exp_Shift[[Number]:[Number]],0,0),_xlpm.Init,_xlfn.XLOOKUP(Q62,Exp_Shift[[Rating]:[Rating]],Exp_Shift[[Number]:[Number]],0,0),_xlpm.X,_xlfn.XLOOKUP(X62,Exp_Shift[[Rating]:[Rating]],Exp_Shift[[Number]:[Number]],0,0), IF(_xlpm.Fin-_xlpm.Init&gt;0, _xlfn.XLOOKUP(MIN(4,_xlpm.X+_xlpm.Fin-_xlpm.Init),Exp_Shift[[Number]:[Number]],Exp_Shift[[Rating]:[Rating]],0,0),IF(_xlpm.Fin-_xlpm.Init&lt;0,_xlfn.XLOOKUP(MAX(0,_xlpm.X-1),Exp_Shift[[Number]:[Number]],Exp_Shift[[Rating]:[Rating]],0,0),X62)))</f>
        <v>E</v>
      </c>
      <c r="Y108" s="23" t="str" cm="1">
        <f t="array" ref="Y108">_xlfn.LET(_xlpm.Fin,_xlfn.XLOOKUP(K108,Exp_Shift[[Rating]:[Rating]],Exp_Shift[[Number]:[Number]],0,0),_xlpm.Init,_xlfn.XLOOKUP(K62,Exp_Shift[[Rating]:[Rating]],Exp_Shift[[Number]:[Number]],0,0),_xlpm.X,_xlfn.XLOOKUP(Y62,Exp_Shift[[Rating]:[Rating]],Exp_Shift[[Number]:[Number]],0,0), IF(_xlpm.Fin-_xlpm.Init&gt;0, _xlfn.XLOOKUP(MIN(4,_xlpm.X+1),Exp_Shift[[Number]:[Number]],Exp_Shift[[Rating]:[Rating]],0,0),IF(_xlpm.Fin-_xlpm.Init&lt;0,_xlfn.XLOOKUP(MAX(0,_xlpm.X),Exp_Shift[[Number]:[Number]],Exp_Shift[[Rating]:[Rating]],0,0),Y62)))</f>
        <v>E</v>
      </c>
      <c r="Z108" t="str" cm="1">
        <f t="array" ref="Z108">_xlfn.LET(_xlpm.Fin,_xlfn.XLOOKUP(L108,Exp_Shift[[Rating]:[Rating]],Exp_Shift[[Number]:[Number]],0,0),_xlpm.Init,_xlfn.XLOOKUP(L62,Exp_Shift[[Rating]:[Rating]],Exp_Shift[[Number]:[Number]],0,0),_xlpm.X,_xlfn.XLOOKUP(Z62,Exp_Shift[[Rating]:[Rating]],Exp_Shift[[Number]:[Number]],0,0), IF(_xlpm.Fin-_xlpm.Init&gt;0, _xlfn.XLOOKUP(MIN(4,_xlpm.X+1),Exp_Shift[[Number]:[Number]],Exp_Shift[[Rating]:[Rating]],0,0),IF(_xlpm.Fin-_xlpm.Init&lt;0,_xlfn.XLOOKUP(MAX(0,_xlpm.X),Exp_Shift[[Number]:[Number]],Exp_Shift[[Rating]:[Rating]],0,0),Z62)))</f>
        <v>E</v>
      </c>
      <c r="AA108" t="str" cm="1">
        <f t="array" ref="AA108">_xlfn.LET(_xlpm.Fin,_xlfn.XLOOKUP(M108,Exp_Shift[[Rating]:[Rating]],Exp_Shift[[Number]:[Number]],0,0),_xlpm.Init,_xlfn.XLOOKUP(M62,Exp_Shift[[Rating]:[Rating]],Exp_Shift[[Number]:[Number]],0,0),_xlpm.X,_xlfn.XLOOKUP(AA62,Exp_Shift[[Rating]:[Rating]],Exp_Shift[[Number]:[Number]],0,0), IF(_xlpm.Fin-_xlpm.Init&gt;0, _xlfn.XLOOKUP(MIN(4,_xlpm.X+1),Exp_Shift[[Number]:[Number]],Exp_Shift[[Rating]:[Rating]],0,0),IF(_xlpm.Fin-_xlpm.Init&lt;0,_xlfn.XLOOKUP(MAX(0,_xlpm.X),Exp_Shift[[Number]:[Number]],Exp_Shift[[Rating]:[Rating]],0,0),AA62)))</f>
        <v>E</v>
      </c>
      <c r="AB108" t="str" cm="1">
        <f t="array" ref="AB108">_xlfn.LET(_xlpm.Fin,_xlfn.XLOOKUP(N108,Exp_Shift[[Rating]:[Rating]],Exp_Shift[[Number]:[Number]],0,0),_xlpm.Init,_xlfn.XLOOKUP(N62,Exp_Shift[[Rating]:[Rating]],Exp_Shift[[Number]:[Number]],0,0),_xlpm.X,_xlfn.XLOOKUP(AB62,Exp_Shift[[Rating]:[Rating]],Exp_Shift[[Number]:[Number]],0,0), IF(_xlpm.Fin-_xlpm.Init&gt;0, _xlfn.XLOOKUP(MIN(4,_xlpm.X+1),Exp_Shift[[Number]:[Number]],Exp_Shift[[Rating]:[Rating]],0,0),IF(_xlpm.Fin-_xlpm.Init&lt;0,_xlfn.XLOOKUP(MAX(0,_xlpm.X),Exp_Shift[[Number]:[Number]],Exp_Shift[[Rating]:[Rating]],0,0),AB62)))</f>
        <v>H</v>
      </c>
      <c r="AC108" t="str" cm="1">
        <f t="array" ref="AC108">_xlfn.LET(_xlpm.Fin,_xlfn.XLOOKUP(O108,Exp_Shift[[Rating]:[Rating]],Exp_Shift[[Number]:[Number]],0,0),_xlpm.Init,_xlfn.XLOOKUP(O62,Exp_Shift[[Rating]:[Rating]],Exp_Shift[[Number]:[Number]],0,0),_xlpm.X,_xlfn.XLOOKUP(AC62,Exp_Shift[[Rating]:[Rating]],Exp_Shift[[Number]:[Number]],0,0), IF(_xlpm.Fin-_xlpm.Init&gt;0, _xlfn.XLOOKUP(MIN(4,_xlpm.X+1),Exp_Shift[[Number]:[Number]],Exp_Shift[[Rating]:[Rating]],0,0),IF(_xlpm.Fin-_xlpm.Init&lt;0,_xlfn.XLOOKUP(MAX(0,_xlpm.X),Exp_Shift[[Number]:[Number]],Exp_Shift[[Rating]:[Rating]],0,0),AC62)))</f>
        <v>L</v>
      </c>
      <c r="AD108" t="str" cm="1">
        <f t="array" ref="AD108">_xlfn.LET(_xlpm.Fin,_xlfn.XLOOKUP(P108,Exp_Shift[[Rating]:[Rating]],Exp_Shift[[Number]:[Number]],0,0),_xlpm.Init,_xlfn.XLOOKUP(P62,Exp_Shift[[Rating]:[Rating]],Exp_Shift[[Number]:[Number]],0,0),_xlpm.X,_xlfn.XLOOKUP(AD62,Exp_Shift[[Rating]:[Rating]],Exp_Shift[[Number]:[Number]],0,0), IF(_xlpm.Fin-_xlpm.Init&gt;0, _xlfn.XLOOKUP(MIN(4,_xlpm.X+1),Exp_Shift[[Number]:[Number]],Exp_Shift[[Rating]:[Rating]],0,0),IF(_xlpm.Fin-_xlpm.Init&lt;0,_xlfn.XLOOKUP(MAX(0,_xlpm.X),Exp_Shift[[Number]:[Number]],Exp_Shift[[Rating]:[Rating]],0,0),AD62)))</f>
        <v>E</v>
      </c>
      <c r="AE108" s="27" t="str" cm="1">
        <f t="array" ref="AE108">_xlfn.LET(_xlpm.Fin,_xlfn.XLOOKUP(Q108,Exp_Shift[[Rating]:[Rating]],Exp_Shift[[Number]:[Number]],0,0),_xlpm.Init,_xlfn.XLOOKUP(Q62,Exp_Shift[[Rating]:[Rating]],Exp_Shift[[Number]:[Number]],0,0),_xlpm.X,_xlfn.XLOOKUP(AE62,Exp_Shift[[Rating]:[Rating]],Exp_Shift[[Number]:[Number]],0,0), IF(_xlpm.Fin-_xlpm.Init&gt;0, _xlfn.XLOOKUP(MIN(4,_xlpm.X+1),Exp_Shift[[Number]:[Number]],Exp_Shift[[Rating]:[Rating]],0,0),IF(_xlpm.Fin-_xlpm.Init&lt;0,_xlfn.XLOOKUP(MAX(0,_xlpm.X),Exp_Shift[[Number]:[Number]],Exp_Shift[[Rating]:[Rating]],0,0),AE62)))</f>
        <v>E</v>
      </c>
    </row>
    <row r="109" spans="8:31" ht="18" x14ac:dyDescent="0.35">
      <c r="H109" s="26">
        <v>52</v>
      </c>
      <c r="I109" s="332" t="s">
        <v>120</v>
      </c>
      <c r="J109" s="328" t="s">
        <v>220</v>
      </c>
      <c r="K109" s="23" t="str" cm="1">
        <f t="array" ref="K109">_xlfn.SWITCH(K86,"N/A","L","L","M","M","H","H","E","E","N/A")</f>
        <v>E</v>
      </c>
      <c r="L109" t="str" cm="1">
        <f t="array" ref="L109">_xlfn.SWITCH(L86,"N/A","L","L","M","M","H","H","E","E","N/A")</f>
        <v>E</v>
      </c>
      <c r="M109" t="str" cm="1">
        <f t="array" ref="M109">_xlfn.SWITCH(M86,"N/A","L","L","M","M","H","H","E","E","N/A")</f>
        <v>N/A</v>
      </c>
      <c r="N109" t="str" cm="1">
        <f t="array" ref="N109">_xlfn.SWITCH(N86,"N/A","L","L","M","M","H","H","E","E","N/A")</f>
        <v>E</v>
      </c>
      <c r="O109" t="str" cm="1">
        <f t="array" ref="O109">_xlfn.SWITCH(O86,"N/A","L","L","M","M","H","H","E","E","N/A")</f>
        <v>M</v>
      </c>
      <c r="P109" t="str" cm="1">
        <f t="array" ref="P109">_xlfn.SWITCH(P86,"N/A","L","L","M","M","H","H","E","E","N/A")</f>
        <v>M</v>
      </c>
      <c r="Q109" s="19" t="str" cm="1">
        <f t="array" ref="Q109">_xlfn.SWITCH(Q86,"N/A","L","L","M","M","H","H","E","E","N/A")</f>
        <v>E</v>
      </c>
      <c r="R109" s="23" t="str" cm="1">
        <f t="array" ref="R109">_xlfn.LET(_xlpm.Fin,_xlfn.XLOOKUP(K109,Exp_Shift[[Rating]:[Rating]],Exp_Shift[[Number]:[Number]],0,0),_xlpm.Init,_xlfn.XLOOKUP(K63,Exp_Shift[[Rating]:[Rating]],Exp_Shift[[Number]:[Number]],0,0),_xlpm.X,_xlfn.XLOOKUP(R63,Exp_Shift[[Rating]:[Rating]],Exp_Shift[[Number]:[Number]],0,0), IF(_xlpm.Fin-_xlpm.Init&gt;0, _xlfn.XLOOKUP(MIN(4,_xlpm.X+_xlpm.Fin-_xlpm.Init),Exp_Shift[[Number]:[Number]],Exp_Shift[[Rating]:[Rating]],0,0),IF(_xlpm.Fin-_xlpm.Init&lt;0,_xlfn.XLOOKUP(MAX(0,_xlpm.X-1),Exp_Shift[[Number]:[Number]],Exp_Shift[[Rating]:[Rating]],0,0),R63)))</f>
        <v>E</v>
      </c>
      <c r="S109" t="str" cm="1">
        <f t="array" ref="S109">_xlfn.LET(_xlpm.Fin,_xlfn.XLOOKUP(L109,Exp_Shift[[Rating]:[Rating]],Exp_Shift[[Number]:[Number]],0,0),_xlpm.Init,_xlfn.XLOOKUP(L63,Exp_Shift[[Rating]:[Rating]],Exp_Shift[[Number]:[Number]],0,0),_xlpm.X,_xlfn.XLOOKUP(S63,Exp_Shift[[Rating]:[Rating]],Exp_Shift[[Number]:[Number]],0,0), IF(_xlpm.Fin-_xlpm.Init&gt;0, _xlfn.XLOOKUP(MIN(4,_xlpm.X+_xlpm.Fin-_xlpm.Init),Exp_Shift[[Number]:[Number]],Exp_Shift[[Rating]:[Rating]],0,0),IF(_xlpm.Fin-_xlpm.Init&lt;0,_xlfn.XLOOKUP(MAX(0,_xlpm.X-1),Exp_Shift[[Number]:[Number]],Exp_Shift[[Rating]:[Rating]],0,0),S63)))</f>
        <v>E</v>
      </c>
      <c r="T109" t="str" cm="1">
        <f t="array" ref="T109">_xlfn.LET(_xlpm.Fin,_xlfn.XLOOKUP(M109,Exp_Shift[[Rating]:[Rating]],Exp_Shift[[Number]:[Number]],0,0),_xlpm.Init,_xlfn.XLOOKUP(M63,Exp_Shift[[Rating]:[Rating]],Exp_Shift[[Number]:[Number]],0,0),_xlpm.X,_xlfn.XLOOKUP(T63,Exp_Shift[[Rating]:[Rating]],Exp_Shift[[Number]:[Number]],0,0), IF(_xlpm.Fin-_xlpm.Init&gt;0, _xlfn.XLOOKUP(MIN(4,_xlpm.X+_xlpm.Fin-_xlpm.Init),Exp_Shift[[Number]:[Number]],Exp_Shift[[Rating]:[Rating]],0,0),IF(_xlpm.Fin-_xlpm.Init&lt;0,_xlfn.XLOOKUP(MAX(0,_xlpm.X-1),Exp_Shift[[Number]:[Number]],Exp_Shift[[Rating]:[Rating]],0,0),T63)))</f>
        <v>H</v>
      </c>
      <c r="U109" t="str" cm="1">
        <f t="array" ref="U109">_xlfn.LET(_xlpm.Fin,_xlfn.XLOOKUP(N109,Exp_Shift[[Rating]:[Rating]],Exp_Shift[[Number]:[Number]],0,0),_xlpm.Init,_xlfn.XLOOKUP(N63,Exp_Shift[[Rating]:[Rating]],Exp_Shift[[Number]:[Number]],0,0),_xlpm.X,_xlfn.XLOOKUP(U63,Exp_Shift[[Rating]:[Rating]],Exp_Shift[[Number]:[Number]],0,0), IF(_xlpm.Fin-_xlpm.Init&gt;0, _xlfn.XLOOKUP(MIN(4,_xlpm.X+_xlpm.Fin-_xlpm.Init),Exp_Shift[[Number]:[Number]],Exp_Shift[[Rating]:[Rating]],0,0),IF(_xlpm.Fin-_xlpm.Init&lt;0,_xlfn.XLOOKUP(MAX(0,_xlpm.X-1),Exp_Shift[[Number]:[Number]],Exp_Shift[[Rating]:[Rating]],0,0),U63)))</f>
        <v>E</v>
      </c>
      <c r="V109" t="str" cm="1">
        <f t="array" ref="V109">_xlfn.LET(_xlpm.Fin,_xlfn.XLOOKUP(O109,Exp_Shift[[Rating]:[Rating]],Exp_Shift[[Number]:[Number]],0,0),_xlpm.Init,_xlfn.XLOOKUP(O63,Exp_Shift[[Rating]:[Rating]],Exp_Shift[[Number]:[Number]],0,0),_xlpm.X,_xlfn.XLOOKUP(V63,Exp_Shift[[Rating]:[Rating]],Exp_Shift[[Number]:[Number]],0,0), IF(_xlpm.Fin-_xlpm.Init&gt;0, _xlfn.XLOOKUP(MIN(4,_xlpm.X+_xlpm.Fin-_xlpm.Init),Exp_Shift[[Number]:[Number]],Exp_Shift[[Rating]:[Rating]],0,0),IF(_xlpm.Fin-_xlpm.Init&lt;0,_xlfn.XLOOKUP(MAX(0,_xlpm.X-1),Exp_Shift[[Number]:[Number]],Exp_Shift[[Rating]:[Rating]],0,0),V63)))</f>
        <v>M</v>
      </c>
      <c r="W109" t="str" cm="1">
        <f t="array" ref="W109">_xlfn.LET(_xlpm.Fin,_xlfn.XLOOKUP(P109,Exp_Shift[[Rating]:[Rating]],Exp_Shift[[Number]:[Number]],0,0),_xlpm.Init,_xlfn.XLOOKUP(P63,Exp_Shift[[Rating]:[Rating]],Exp_Shift[[Number]:[Number]],0,0),_xlpm.X,_xlfn.XLOOKUP(W63,Exp_Shift[[Rating]:[Rating]],Exp_Shift[[Number]:[Number]],0,0), IF(_xlpm.Fin-_xlpm.Init&gt;0, _xlfn.XLOOKUP(MIN(4,_xlpm.X+_xlpm.Fin-_xlpm.Init),Exp_Shift[[Number]:[Number]],Exp_Shift[[Rating]:[Rating]],0,0),IF(_xlpm.Fin-_xlpm.Init&lt;0,_xlfn.XLOOKUP(MAX(0,_xlpm.X-1),Exp_Shift[[Number]:[Number]],Exp_Shift[[Rating]:[Rating]],0,0),W63)))</f>
        <v>M</v>
      </c>
      <c r="X109" s="19" t="str" cm="1">
        <f t="array" ref="X109">_xlfn.LET(_xlpm.Fin,_xlfn.XLOOKUP(Q109,Exp_Shift[[Rating]:[Rating]],Exp_Shift[[Number]:[Number]],0,0),_xlpm.Init,_xlfn.XLOOKUP(Q63,Exp_Shift[[Rating]:[Rating]],Exp_Shift[[Number]:[Number]],0,0),_xlpm.X,_xlfn.XLOOKUP(X63,Exp_Shift[[Rating]:[Rating]],Exp_Shift[[Number]:[Number]],0,0), IF(_xlpm.Fin-_xlpm.Init&gt;0, _xlfn.XLOOKUP(MIN(4,_xlpm.X+_xlpm.Fin-_xlpm.Init),Exp_Shift[[Number]:[Number]],Exp_Shift[[Rating]:[Rating]],0,0),IF(_xlpm.Fin-_xlpm.Init&lt;0,_xlfn.XLOOKUP(MAX(0,_xlpm.X-1),Exp_Shift[[Number]:[Number]],Exp_Shift[[Rating]:[Rating]],0,0),X63)))</f>
        <v>E</v>
      </c>
      <c r="Y109" s="23" t="str" cm="1">
        <f t="array" ref="Y109">_xlfn.LET(_xlpm.Fin,_xlfn.XLOOKUP(K109,Exp_Shift[[Rating]:[Rating]],Exp_Shift[[Number]:[Number]],0,0),_xlpm.Init,_xlfn.XLOOKUP(K63,Exp_Shift[[Rating]:[Rating]],Exp_Shift[[Number]:[Number]],0,0),_xlpm.X,_xlfn.XLOOKUP(Y63,Exp_Shift[[Rating]:[Rating]],Exp_Shift[[Number]:[Number]],0,0), IF(_xlpm.Fin-_xlpm.Init&gt;0, _xlfn.XLOOKUP(MIN(4,_xlpm.X+1),Exp_Shift[[Number]:[Number]],Exp_Shift[[Rating]:[Rating]],0,0),IF(_xlpm.Fin-_xlpm.Init&lt;0,_xlfn.XLOOKUP(MAX(0,_xlpm.X),Exp_Shift[[Number]:[Number]],Exp_Shift[[Rating]:[Rating]],0,0),Y63)))</f>
        <v>E</v>
      </c>
      <c r="Z109" t="str" cm="1">
        <f t="array" ref="Z109">_xlfn.LET(_xlpm.Fin,_xlfn.XLOOKUP(L109,Exp_Shift[[Rating]:[Rating]],Exp_Shift[[Number]:[Number]],0,0),_xlpm.Init,_xlfn.XLOOKUP(L63,Exp_Shift[[Rating]:[Rating]],Exp_Shift[[Number]:[Number]],0,0),_xlpm.X,_xlfn.XLOOKUP(Z63,Exp_Shift[[Rating]:[Rating]],Exp_Shift[[Number]:[Number]],0,0), IF(_xlpm.Fin-_xlpm.Init&gt;0, _xlfn.XLOOKUP(MIN(4,_xlpm.X+1),Exp_Shift[[Number]:[Number]],Exp_Shift[[Rating]:[Rating]],0,0),IF(_xlpm.Fin-_xlpm.Init&lt;0,_xlfn.XLOOKUP(MAX(0,_xlpm.X),Exp_Shift[[Number]:[Number]],Exp_Shift[[Rating]:[Rating]],0,0),Z63)))</f>
        <v>E</v>
      </c>
      <c r="AA109" t="str" cm="1">
        <f t="array" ref="AA109">_xlfn.LET(_xlpm.Fin,_xlfn.XLOOKUP(M109,Exp_Shift[[Rating]:[Rating]],Exp_Shift[[Number]:[Number]],0,0),_xlpm.Init,_xlfn.XLOOKUP(M63,Exp_Shift[[Rating]:[Rating]],Exp_Shift[[Number]:[Number]],0,0),_xlpm.X,_xlfn.XLOOKUP(AA63,Exp_Shift[[Rating]:[Rating]],Exp_Shift[[Number]:[Number]],0,0), IF(_xlpm.Fin-_xlpm.Init&gt;0, _xlfn.XLOOKUP(MIN(4,_xlpm.X+1),Exp_Shift[[Number]:[Number]],Exp_Shift[[Rating]:[Rating]],0,0),IF(_xlpm.Fin-_xlpm.Init&lt;0,_xlfn.XLOOKUP(MAX(0,_xlpm.X),Exp_Shift[[Number]:[Number]],Exp_Shift[[Rating]:[Rating]],0,0),AA63)))</f>
        <v>E</v>
      </c>
      <c r="AB109" t="str" cm="1">
        <f t="array" ref="AB109">_xlfn.LET(_xlpm.Fin,_xlfn.XLOOKUP(N109,Exp_Shift[[Rating]:[Rating]],Exp_Shift[[Number]:[Number]],0,0),_xlpm.Init,_xlfn.XLOOKUP(N63,Exp_Shift[[Rating]:[Rating]],Exp_Shift[[Number]:[Number]],0,0),_xlpm.X,_xlfn.XLOOKUP(AB63,Exp_Shift[[Rating]:[Rating]],Exp_Shift[[Number]:[Number]],0,0), IF(_xlpm.Fin-_xlpm.Init&gt;0, _xlfn.XLOOKUP(MIN(4,_xlpm.X+1),Exp_Shift[[Number]:[Number]],Exp_Shift[[Rating]:[Rating]],0,0),IF(_xlpm.Fin-_xlpm.Init&lt;0,_xlfn.XLOOKUP(MAX(0,_xlpm.X),Exp_Shift[[Number]:[Number]],Exp_Shift[[Rating]:[Rating]],0,0),AB63)))</f>
        <v>E</v>
      </c>
      <c r="AC109" t="str" cm="1">
        <f t="array" ref="AC109">_xlfn.LET(_xlpm.Fin,_xlfn.XLOOKUP(O109,Exp_Shift[[Rating]:[Rating]],Exp_Shift[[Number]:[Number]],0,0),_xlpm.Init,_xlfn.XLOOKUP(O63,Exp_Shift[[Rating]:[Rating]],Exp_Shift[[Number]:[Number]],0,0),_xlpm.X,_xlfn.XLOOKUP(AC63,Exp_Shift[[Rating]:[Rating]],Exp_Shift[[Number]:[Number]],0,0), IF(_xlpm.Fin-_xlpm.Init&gt;0, _xlfn.XLOOKUP(MIN(4,_xlpm.X+1),Exp_Shift[[Number]:[Number]],Exp_Shift[[Rating]:[Rating]],0,0),IF(_xlpm.Fin-_xlpm.Init&lt;0,_xlfn.XLOOKUP(MAX(0,_xlpm.X),Exp_Shift[[Number]:[Number]],Exp_Shift[[Rating]:[Rating]],0,0),AC63)))</f>
        <v>L</v>
      </c>
      <c r="AD109" t="str" cm="1">
        <f t="array" ref="AD109">_xlfn.LET(_xlpm.Fin,_xlfn.XLOOKUP(P109,Exp_Shift[[Rating]:[Rating]],Exp_Shift[[Number]:[Number]],0,0),_xlpm.Init,_xlfn.XLOOKUP(P63,Exp_Shift[[Rating]:[Rating]],Exp_Shift[[Number]:[Number]],0,0),_xlpm.X,_xlfn.XLOOKUP(AD63,Exp_Shift[[Rating]:[Rating]],Exp_Shift[[Number]:[Number]],0,0), IF(_xlpm.Fin-_xlpm.Init&gt;0, _xlfn.XLOOKUP(MIN(4,_xlpm.X+1),Exp_Shift[[Number]:[Number]],Exp_Shift[[Rating]:[Rating]],0,0),IF(_xlpm.Fin-_xlpm.Init&lt;0,_xlfn.XLOOKUP(MAX(0,_xlpm.X),Exp_Shift[[Number]:[Number]],Exp_Shift[[Rating]:[Rating]],0,0),AD63)))</f>
        <v>L</v>
      </c>
      <c r="AE109" s="27" t="str" cm="1">
        <f t="array" ref="AE109">_xlfn.LET(_xlpm.Fin,_xlfn.XLOOKUP(Q109,Exp_Shift[[Rating]:[Rating]],Exp_Shift[[Number]:[Number]],0,0),_xlpm.Init,_xlfn.XLOOKUP(Q63,Exp_Shift[[Rating]:[Rating]],Exp_Shift[[Number]:[Number]],0,0),_xlpm.X,_xlfn.XLOOKUP(AE63,Exp_Shift[[Rating]:[Rating]],Exp_Shift[[Number]:[Number]],0,0), IF(_xlpm.Fin-_xlpm.Init&gt;0, _xlfn.XLOOKUP(MIN(4,_xlpm.X+1),Exp_Shift[[Number]:[Number]],Exp_Shift[[Rating]:[Rating]],0,0),IF(_xlpm.Fin-_xlpm.Init&lt;0,_xlfn.XLOOKUP(MAX(0,_xlpm.X),Exp_Shift[[Number]:[Number]],Exp_Shift[[Rating]:[Rating]],0,0),AE63)))</f>
        <v>E</v>
      </c>
    </row>
    <row r="110" spans="8:31" ht="18" x14ac:dyDescent="0.35">
      <c r="H110" s="26">
        <v>53</v>
      </c>
      <c r="I110" s="332" t="s">
        <v>120</v>
      </c>
      <c r="J110" s="328" t="s">
        <v>67</v>
      </c>
      <c r="K110" s="23" t="str" cm="1">
        <f t="array" ref="K110">_xlfn.SWITCH(K87,"N/A","L","L","M","M","H","H","E","E","N/A")</f>
        <v>H</v>
      </c>
      <c r="L110" t="str" cm="1">
        <f t="array" ref="L110">_xlfn.SWITCH(L87,"N/A","L","L","M","M","H","H","E","E","N/A")</f>
        <v>E</v>
      </c>
      <c r="M110" t="str" cm="1">
        <f t="array" ref="M110">_xlfn.SWITCH(M87,"N/A","L","L","M","M","H","H","E","E","N/A")</f>
        <v>N/A</v>
      </c>
      <c r="N110" t="str" cm="1">
        <f t="array" ref="N110">_xlfn.SWITCH(N87,"N/A","L","L","M","M","H","H","E","E","N/A")</f>
        <v>H</v>
      </c>
      <c r="O110" t="str" cm="1">
        <f t="array" ref="O110">_xlfn.SWITCH(O87,"N/A","L","L","M","M","H","H","E","E","N/A")</f>
        <v>M</v>
      </c>
      <c r="P110" t="str" cm="1">
        <f t="array" ref="P110">_xlfn.SWITCH(P87,"N/A","L","L","M","M","H","H","E","E","N/A")</f>
        <v>M</v>
      </c>
      <c r="Q110" s="19" t="str" cm="1">
        <f t="array" ref="Q110">_xlfn.SWITCH(Q87,"N/A","L","L","M","M","H","H","E","E","N/A")</f>
        <v>H</v>
      </c>
      <c r="R110" s="23" t="str" cm="1">
        <f t="array" ref="R110">_xlfn.LET(_xlpm.Fin,_xlfn.XLOOKUP(K110,Exp_Shift[[Rating]:[Rating]],Exp_Shift[[Number]:[Number]],0,0),_xlpm.Init,_xlfn.XLOOKUP(K64,Exp_Shift[[Rating]:[Rating]],Exp_Shift[[Number]:[Number]],0,0),_xlpm.X,_xlfn.XLOOKUP(R64,Exp_Shift[[Rating]:[Rating]],Exp_Shift[[Number]:[Number]],0,0), IF(_xlpm.Fin-_xlpm.Init&gt;0, _xlfn.XLOOKUP(MIN(4,_xlpm.X+_xlpm.Fin-_xlpm.Init),Exp_Shift[[Number]:[Number]],Exp_Shift[[Rating]:[Rating]],0,0),IF(_xlpm.Fin-_xlpm.Init&lt;0,_xlfn.XLOOKUP(MAX(0,_xlpm.X-1),Exp_Shift[[Number]:[Number]],Exp_Shift[[Rating]:[Rating]],0,0),R64)))</f>
        <v>H</v>
      </c>
      <c r="S110" t="str" cm="1">
        <f t="array" ref="S110">_xlfn.LET(_xlpm.Fin,_xlfn.XLOOKUP(L110,Exp_Shift[[Rating]:[Rating]],Exp_Shift[[Number]:[Number]],0,0),_xlpm.Init,_xlfn.XLOOKUP(L64,Exp_Shift[[Rating]:[Rating]],Exp_Shift[[Number]:[Number]],0,0),_xlpm.X,_xlfn.XLOOKUP(S64,Exp_Shift[[Rating]:[Rating]],Exp_Shift[[Number]:[Number]],0,0), IF(_xlpm.Fin-_xlpm.Init&gt;0, _xlfn.XLOOKUP(MIN(4,_xlpm.X+_xlpm.Fin-_xlpm.Init),Exp_Shift[[Number]:[Number]],Exp_Shift[[Rating]:[Rating]],0,0),IF(_xlpm.Fin-_xlpm.Init&lt;0,_xlfn.XLOOKUP(MAX(0,_xlpm.X-1),Exp_Shift[[Number]:[Number]],Exp_Shift[[Rating]:[Rating]],0,0),S64)))</f>
        <v>E</v>
      </c>
      <c r="T110" t="str" cm="1">
        <f t="array" ref="T110">_xlfn.LET(_xlpm.Fin,_xlfn.XLOOKUP(M110,Exp_Shift[[Rating]:[Rating]],Exp_Shift[[Number]:[Number]],0,0),_xlpm.Init,_xlfn.XLOOKUP(M64,Exp_Shift[[Rating]:[Rating]],Exp_Shift[[Number]:[Number]],0,0),_xlpm.X,_xlfn.XLOOKUP(T64,Exp_Shift[[Rating]:[Rating]],Exp_Shift[[Number]:[Number]],0,0), IF(_xlpm.Fin-_xlpm.Init&gt;0, _xlfn.XLOOKUP(MIN(4,_xlpm.X+_xlpm.Fin-_xlpm.Init),Exp_Shift[[Number]:[Number]],Exp_Shift[[Rating]:[Rating]],0,0),IF(_xlpm.Fin-_xlpm.Init&lt;0,_xlfn.XLOOKUP(MAX(0,_xlpm.X-1),Exp_Shift[[Number]:[Number]],Exp_Shift[[Rating]:[Rating]],0,0),T64)))</f>
        <v>H</v>
      </c>
      <c r="U110" t="str" cm="1">
        <f t="array" ref="U110">_xlfn.LET(_xlpm.Fin,_xlfn.XLOOKUP(N110,Exp_Shift[[Rating]:[Rating]],Exp_Shift[[Number]:[Number]],0,0),_xlpm.Init,_xlfn.XLOOKUP(N64,Exp_Shift[[Rating]:[Rating]],Exp_Shift[[Number]:[Number]],0,0),_xlpm.X,_xlfn.XLOOKUP(U64,Exp_Shift[[Rating]:[Rating]],Exp_Shift[[Number]:[Number]],0,0), IF(_xlpm.Fin-_xlpm.Init&gt;0, _xlfn.XLOOKUP(MIN(4,_xlpm.X+_xlpm.Fin-_xlpm.Init),Exp_Shift[[Number]:[Number]],Exp_Shift[[Rating]:[Rating]],0,0),IF(_xlpm.Fin-_xlpm.Init&lt;0,_xlfn.XLOOKUP(MAX(0,_xlpm.X-1),Exp_Shift[[Number]:[Number]],Exp_Shift[[Rating]:[Rating]],0,0),U64)))</f>
        <v>E</v>
      </c>
      <c r="V110" t="str" cm="1">
        <f t="array" ref="V110">_xlfn.LET(_xlpm.Fin,_xlfn.XLOOKUP(O110,Exp_Shift[[Rating]:[Rating]],Exp_Shift[[Number]:[Number]],0,0),_xlpm.Init,_xlfn.XLOOKUP(O64,Exp_Shift[[Rating]:[Rating]],Exp_Shift[[Number]:[Number]],0,0),_xlpm.X,_xlfn.XLOOKUP(V64,Exp_Shift[[Rating]:[Rating]],Exp_Shift[[Number]:[Number]],0,0), IF(_xlpm.Fin-_xlpm.Init&gt;0, _xlfn.XLOOKUP(MIN(4,_xlpm.X+_xlpm.Fin-_xlpm.Init),Exp_Shift[[Number]:[Number]],Exp_Shift[[Rating]:[Rating]],0,0),IF(_xlpm.Fin-_xlpm.Init&lt;0,_xlfn.XLOOKUP(MAX(0,_xlpm.X-1),Exp_Shift[[Number]:[Number]],Exp_Shift[[Rating]:[Rating]],0,0),V64)))</f>
        <v>M</v>
      </c>
      <c r="W110" t="str" cm="1">
        <f t="array" ref="W110">_xlfn.LET(_xlpm.Fin,_xlfn.XLOOKUP(P110,Exp_Shift[[Rating]:[Rating]],Exp_Shift[[Number]:[Number]],0,0),_xlpm.Init,_xlfn.XLOOKUP(P64,Exp_Shift[[Rating]:[Rating]],Exp_Shift[[Number]:[Number]],0,0),_xlpm.X,_xlfn.XLOOKUP(W64,Exp_Shift[[Rating]:[Rating]],Exp_Shift[[Number]:[Number]],0,0), IF(_xlpm.Fin-_xlpm.Init&gt;0, _xlfn.XLOOKUP(MIN(4,_xlpm.X+_xlpm.Fin-_xlpm.Init),Exp_Shift[[Number]:[Number]],Exp_Shift[[Rating]:[Rating]],0,0),IF(_xlpm.Fin-_xlpm.Init&lt;0,_xlfn.XLOOKUP(MAX(0,_xlpm.X-1),Exp_Shift[[Number]:[Number]],Exp_Shift[[Rating]:[Rating]],0,0),W64)))</f>
        <v>M</v>
      </c>
      <c r="X110" s="19" t="str" cm="1">
        <f t="array" ref="X110">_xlfn.LET(_xlpm.Fin,_xlfn.XLOOKUP(Q110,Exp_Shift[[Rating]:[Rating]],Exp_Shift[[Number]:[Number]],0,0),_xlpm.Init,_xlfn.XLOOKUP(Q64,Exp_Shift[[Rating]:[Rating]],Exp_Shift[[Number]:[Number]],0,0),_xlpm.X,_xlfn.XLOOKUP(X64,Exp_Shift[[Rating]:[Rating]],Exp_Shift[[Number]:[Number]],0,0), IF(_xlpm.Fin-_xlpm.Init&gt;0, _xlfn.XLOOKUP(MIN(4,_xlpm.X+_xlpm.Fin-_xlpm.Init),Exp_Shift[[Number]:[Number]],Exp_Shift[[Rating]:[Rating]],0,0),IF(_xlpm.Fin-_xlpm.Init&lt;0,_xlfn.XLOOKUP(MAX(0,_xlpm.X-1),Exp_Shift[[Number]:[Number]],Exp_Shift[[Rating]:[Rating]],0,0),X64)))</f>
        <v>H</v>
      </c>
      <c r="Y110" s="23" t="str" cm="1">
        <f t="array" ref="Y110">_xlfn.LET(_xlpm.Fin,_xlfn.XLOOKUP(K110,Exp_Shift[[Rating]:[Rating]],Exp_Shift[[Number]:[Number]],0,0),_xlpm.Init,_xlfn.XLOOKUP(K64,Exp_Shift[[Rating]:[Rating]],Exp_Shift[[Number]:[Number]],0,0),_xlpm.X,_xlfn.XLOOKUP(Y64,Exp_Shift[[Rating]:[Rating]],Exp_Shift[[Number]:[Number]],0,0), IF(_xlpm.Fin-_xlpm.Init&gt;0, _xlfn.XLOOKUP(MIN(4,_xlpm.X+1),Exp_Shift[[Number]:[Number]],Exp_Shift[[Rating]:[Rating]],0,0),IF(_xlpm.Fin-_xlpm.Init&lt;0,_xlfn.XLOOKUP(MAX(0,_xlpm.X),Exp_Shift[[Number]:[Number]],Exp_Shift[[Rating]:[Rating]],0,0),Y64)))</f>
        <v>H</v>
      </c>
      <c r="Z110" t="str" cm="1">
        <f t="array" ref="Z110">_xlfn.LET(_xlpm.Fin,_xlfn.XLOOKUP(L110,Exp_Shift[[Rating]:[Rating]],Exp_Shift[[Number]:[Number]],0,0),_xlpm.Init,_xlfn.XLOOKUP(L64,Exp_Shift[[Rating]:[Rating]],Exp_Shift[[Number]:[Number]],0,0),_xlpm.X,_xlfn.XLOOKUP(Z64,Exp_Shift[[Rating]:[Rating]],Exp_Shift[[Number]:[Number]],0,0), IF(_xlpm.Fin-_xlpm.Init&gt;0, _xlfn.XLOOKUP(MIN(4,_xlpm.X+1),Exp_Shift[[Number]:[Number]],Exp_Shift[[Rating]:[Rating]],0,0),IF(_xlpm.Fin-_xlpm.Init&lt;0,_xlfn.XLOOKUP(MAX(0,_xlpm.X),Exp_Shift[[Number]:[Number]],Exp_Shift[[Rating]:[Rating]],0,0),Z64)))</f>
        <v>E</v>
      </c>
      <c r="AA110" t="str" cm="1">
        <f t="array" ref="AA110">_xlfn.LET(_xlpm.Fin,_xlfn.XLOOKUP(M110,Exp_Shift[[Rating]:[Rating]],Exp_Shift[[Number]:[Number]],0,0),_xlpm.Init,_xlfn.XLOOKUP(M64,Exp_Shift[[Rating]:[Rating]],Exp_Shift[[Number]:[Number]],0,0),_xlpm.X,_xlfn.XLOOKUP(AA64,Exp_Shift[[Rating]:[Rating]],Exp_Shift[[Number]:[Number]],0,0), IF(_xlpm.Fin-_xlpm.Init&gt;0, _xlfn.XLOOKUP(MIN(4,_xlpm.X+1),Exp_Shift[[Number]:[Number]],Exp_Shift[[Rating]:[Rating]],0,0),IF(_xlpm.Fin-_xlpm.Init&lt;0,_xlfn.XLOOKUP(MAX(0,_xlpm.X),Exp_Shift[[Number]:[Number]],Exp_Shift[[Rating]:[Rating]],0,0),AA64)))</f>
        <v>E</v>
      </c>
      <c r="AB110" t="str" cm="1">
        <f t="array" ref="AB110">_xlfn.LET(_xlpm.Fin,_xlfn.XLOOKUP(N110,Exp_Shift[[Rating]:[Rating]],Exp_Shift[[Number]:[Number]],0,0),_xlpm.Init,_xlfn.XLOOKUP(N64,Exp_Shift[[Rating]:[Rating]],Exp_Shift[[Number]:[Number]],0,0),_xlpm.X,_xlfn.XLOOKUP(AB64,Exp_Shift[[Rating]:[Rating]],Exp_Shift[[Number]:[Number]],0,0), IF(_xlpm.Fin-_xlpm.Init&gt;0, _xlfn.XLOOKUP(MIN(4,_xlpm.X+1),Exp_Shift[[Number]:[Number]],Exp_Shift[[Rating]:[Rating]],0,0),IF(_xlpm.Fin-_xlpm.Init&lt;0,_xlfn.XLOOKUP(MAX(0,_xlpm.X),Exp_Shift[[Number]:[Number]],Exp_Shift[[Rating]:[Rating]],0,0),AB64)))</f>
        <v>H</v>
      </c>
      <c r="AC110" t="str" cm="1">
        <f t="array" ref="AC110">_xlfn.LET(_xlpm.Fin,_xlfn.XLOOKUP(O110,Exp_Shift[[Rating]:[Rating]],Exp_Shift[[Number]:[Number]],0,0),_xlpm.Init,_xlfn.XLOOKUP(O64,Exp_Shift[[Rating]:[Rating]],Exp_Shift[[Number]:[Number]],0,0),_xlpm.X,_xlfn.XLOOKUP(AC64,Exp_Shift[[Rating]:[Rating]],Exp_Shift[[Number]:[Number]],0,0), IF(_xlpm.Fin-_xlpm.Init&gt;0, _xlfn.XLOOKUP(MIN(4,_xlpm.X+1),Exp_Shift[[Number]:[Number]],Exp_Shift[[Rating]:[Rating]],0,0),IF(_xlpm.Fin-_xlpm.Init&lt;0,_xlfn.XLOOKUP(MAX(0,_xlpm.X),Exp_Shift[[Number]:[Number]],Exp_Shift[[Rating]:[Rating]],0,0),AC64)))</f>
        <v>L</v>
      </c>
      <c r="AD110" t="str" cm="1">
        <f t="array" ref="AD110">_xlfn.LET(_xlpm.Fin,_xlfn.XLOOKUP(P110,Exp_Shift[[Rating]:[Rating]],Exp_Shift[[Number]:[Number]],0,0),_xlpm.Init,_xlfn.XLOOKUP(P64,Exp_Shift[[Rating]:[Rating]],Exp_Shift[[Number]:[Number]],0,0),_xlpm.X,_xlfn.XLOOKUP(AD64,Exp_Shift[[Rating]:[Rating]],Exp_Shift[[Number]:[Number]],0,0), IF(_xlpm.Fin-_xlpm.Init&gt;0, _xlfn.XLOOKUP(MIN(4,_xlpm.X+1),Exp_Shift[[Number]:[Number]],Exp_Shift[[Rating]:[Rating]],0,0),IF(_xlpm.Fin-_xlpm.Init&lt;0,_xlfn.XLOOKUP(MAX(0,_xlpm.X),Exp_Shift[[Number]:[Number]],Exp_Shift[[Rating]:[Rating]],0,0),AD64)))</f>
        <v>L</v>
      </c>
      <c r="AE110" s="27" t="str" cm="1">
        <f t="array" ref="AE110">_xlfn.LET(_xlpm.Fin,_xlfn.XLOOKUP(Q110,Exp_Shift[[Rating]:[Rating]],Exp_Shift[[Number]:[Number]],0,0),_xlpm.Init,_xlfn.XLOOKUP(Q64,Exp_Shift[[Rating]:[Rating]],Exp_Shift[[Number]:[Number]],0,0),_xlpm.X,_xlfn.XLOOKUP(AE64,Exp_Shift[[Rating]:[Rating]],Exp_Shift[[Number]:[Number]],0,0), IF(_xlpm.Fin-_xlpm.Init&gt;0, _xlfn.XLOOKUP(MIN(4,_xlpm.X+1),Exp_Shift[[Number]:[Number]],Exp_Shift[[Rating]:[Rating]],0,0),IF(_xlpm.Fin-_xlpm.Init&lt;0,_xlfn.XLOOKUP(MAX(0,_xlpm.X),Exp_Shift[[Number]:[Number]],Exp_Shift[[Rating]:[Rating]],0,0),AE64)))</f>
        <v>E</v>
      </c>
    </row>
    <row r="111" spans="8:31" ht="18" x14ac:dyDescent="0.35">
      <c r="H111" s="26">
        <v>54</v>
      </c>
      <c r="I111" s="332" t="s">
        <v>120</v>
      </c>
      <c r="J111" s="328" t="s">
        <v>121</v>
      </c>
      <c r="K111" s="23" t="str" cm="1">
        <f t="array" ref="K111">_xlfn.SWITCH(K88,"N/A","L","L","M","M","H","H","E","E","N/A")</f>
        <v>H</v>
      </c>
      <c r="L111" t="str" cm="1">
        <f t="array" ref="L111">_xlfn.SWITCH(L88,"N/A","L","L","M","M","H","H","E","E","N/A")</f>
        <v>E</v>
      </c>
      <c r="M111" t="str" cm="1">
        <f t="array" ref="M111">_xlfn.SWITCH(M88,"N/A","L","L","M","M","H","H","E","E","N/A")</f>
        <v>N/A</v>
      </c>
      <c r="N111" t="str" cm="1">
        <f t="array" ref="N111">_xlfn.SWITCH(N88,"N/A","L","L","M","M","H","H","E","E","N/A")</f>
        <v>H</v>
      </c>
      <c r="O111" t="str" cm="1">
        <f t="array" ref="O111">_xlfn.SWITCH(O88,"N/A","L","L","M","M","H","H","E","E","N/A")</f>
        <v>M</v>
      </c>
      <c r="P111" t="str" cm="1">
        <f t="array" ref="P111">_xlfn.SWITCH(P88,"N/A","L","L","M","M","H","H","E","E","N/A")</f>
        <v>M</v>
      </c>
      <c r="Q111" s="19" t="str" cm="1">
        <f t="array" ref="Q111">_xlfn.SWITCH(Q88,"N/A","L","L","M","M","H","H","E","E","N/A")</f>
        <v>E</v>
      </c>
      <c r="R111" s="23" t="str" cm="1">
        <f t="array" ref="R111">_xlfn.LET(_xlpm.Fin,_xlfn.XLOOKUP(K111,Exp_Shift[[Rating]:[Rating]],Exp_Shift[[Number]:[Number]],0,0),_xlpm.Init,_xlfn.XLOOKUP(K65,Exp_Shift[[Rating]:[Rating]],Exp_Shift[[Number]:[Number]],0,0),_xlpm.X,_xlfn.XLOOKUP(R65,Exp_Shift[[Rating]:[Rating]],Exp_Shift[[Number]:[Number]],0,0), IF(_xlpm.Fin-_xlpm.Init&gt;0, _xlfn.XLOOKUP(MIN(4,_xlpm.X+_xlpm.Fin-_xlpm.Init),Exp_Shift[[Number]:[Number]],Exp_Shift[[Rating]:[Rating]],0,0),IF(_xlpm.Fin-_xlpm.Init&lt;0,_xlfn.XLOOKUP(MAX(0,_xlpm.X-1),Exp_Shift[[Number]:[Number]],Exp_Shift[[Rating]:[Rating]],0,0),R65)))</f>
        <v>H</v>
      </c>
      <c r="S111" t="str" cm="1">
        <f t="array" ref="S111">_xlfn.LET(_xlpm.Fin,_xlfn.XLOOKUP(L111,Exp_Shift[[Rating]:[Rating]],Exp_Shift[[Number]:[Number]],0,0),_xlpm.Init,_xlfn.XLOOKUP(L65,Exp_Shift[[Rating]:[Rating]],Exp_Shift[[Number]:[Number]],0,0),_xlpm.X,_xlfn.XLOOKUP(S65,Exp_Shift[[Rating]:[Rating]],Exp_Shift[[Number]:[Number]],0,0), IF(_xlpm.Fin-_xlpm.Init&gt;0, _xlfn.XLOOKUP(MIN(4,_xlpm.X+_xlpm.Fin-_xlpm.Init),Exp_Shift[[Number]:[Number]],Exp_Shift[[Rating]:[Rating]],0,0),IF(_xlpm.Fin-_xlpm.Init&lt;0,_xlfn.XLOOKUP(MAX(0,_xlpm.X-1),Exp_Shift[[Number]:[Number]],Exp_Shift[[Rating]:[Rating]],0,0),S65)))</f>
        <v>E</v>
      </c>
      <c r="T111" t="str" cm="1">
        <f t="array" ref="T111">_xlfn.LET(_xlpm.Fin,_xlfn.XLOOKUP(M111,Exp_Shift[[Rating]:[Rating]],Exp_Shift[[Number]:[Number]],0,0),_xlpm.Init,_xlfn.XLOOKUP(M65,Exp_Shift[[Rating]:[Rating]],Exp_Shift[[Number]:[Number]],0,0),_xlpm.X,_xlfn.XLOOKUP(T65,Exp_Shift[[Rating]:[Rating]],Exp_Shift[[Number]:[Number]],0,0), IF(_xlpm.Fin-_xlpm.Init&gt;0, _xlfn.XLOOKUP(MIN(4,_xlpm.X+_xlpm.Fin-_xlpm.Init),Exp_Shift[[Number]:[Number]],Exp_Shift[[Rating]:[Rating]],0,0),IF(_xlpm.Fin-_xlpm.Init&lt;0,_xlfn.XLOOKUP(MAX(0,_xlpm.X-1),Exp_Shift[[Number]:[Number]],Exp_Shift[[Rating]:[Rating]],0,0),T65)))</f>
        <v>H</v>
      </c>
      <c r="U111" t="str" cm="1">
        <f t="array" ref="U111">_xlfn.LET(_xlpm.Fin,_xlfn.XLOOKUP(N111,Exp_Shift[[Rating]:[Rating]],Exp_Shift[[Number]:[Number]],0,0),_xlpm.Init,_xlfn.XLOOKUP(N65,Exp_Shift[[Rating]:[Rating]],Exp_Shift[[Number]:[Number]],0,0),_xlpm.X,_xlfn.XLOOKUP(U65,Exp_Shift[[Rating]:[Rating]],Exp_Shift[[Number]:[Number]],0,0), IF(_xlpm.Fin-_xlpm.Init&gt;0, _xlfn.XLOOKUP(MIN(4,_xlpm.X+_xlpm.Fin-_xlpm.Init),Exp_Shift[[Number]:[Number]],Exp_Shift[[Rating]:[Rating]],0,0),IF(_xlpm.Fin-_xlpm.Init&lt;0,_xlfn.XLOOKUP(MAX(0,_xlpm.X-1),Exp_Shift[[Number]:[Number]],Exp_Shift[[Rating]:[Rating]],0,0),U65)))</f>
        <v>E</v>
      </c>
      <c r="V111" t="str" cm="1">
        <f t="array" ref="V111">_xlfn.LET(_xlpm.Fin,_xlfn.XLOOKUP(O111,Exp_Shift[[Rating]:[Rating]],Exp_Shift[[Number]:[Number]],0,0),_xlpm.Init,_xlfn.XLOOKUP(O65,Exp_Shift[[Rating]:[Rating]],Exp_Shift[[Number]:[Number]],0,0),_xlpm.X,_xlfn.XLOOKUP(V65,Exp_Shift[[Rating]:[Rating]],Exp_Shift[[Number]:[Number]],0,0), IF(_xlpm.Fin-_xlpm.Init&gt;0, _xlfn.XLOOKUP(MIN(4,_xlpm.X+_xlpm.Fin-_xlpm.Init),Exp_Shift[[Number]:[Number]],Exp_Shift[[Rating]:[Rating]],0,0),IF(_xlpm.Fin-_xlpm.Init&lt;0,_xlfn.XLOOKUP(MAX(0,_xlpm.X-1),Exp_Shift[[Number]:[Number]],Exp_Shift[[Rating]:[Rating]],0,0),V65)))</f>
        <v>M</v>
      </c>
      <c r="W111" t="str" cm="1">
        <f t="array" ref="W111">_xlfn.LET(_xlpm.Fin,_xlfn.XLOOKUP(P111,Exp_Shift[[Rating]:[Rating]],Exp_Shift[[Number]:[Number]],0,0),_xlpm.Init,_xlfn.XLOOKUP(P65,Exp_Shift[[Rating]:[Rating]],Exp_Shift[[Number]:[Number]],0,0),_xlpm.X,_xlfn.XLOOKUP(W65,Exp_Shift[[Rating]:[Rating]],Exp_Shift[[Number]:[Number]],0,0), IF(_xlpm.Fin-_xlpm.Init&gt;0, _xlfn.XLOOKUP(MIN(4,_xlpm.X+_xlpm.Fin-_xlpm.Init),Exp_Shift[[Number]:[Number]],Exp_Shift[[Rating]:[Rating]],0,0),IF(_xlpm.Fin-_xlpm.Init&lt;0,_xlfn.XLOOKUP(MAX(0,_xlpm.X-1),Exp_Shift[[Number]:[Number]],Exp_Shift[[Rating]:[Rating]],0,0),W65)))</f>
        <v>M</v>
      </c>
      <c r="X111" s="19" t="str" cm="1">
        <f t="array" ref="X111">_xlfn.LET(_xlpm.Fin,_xlfn.XLOOKUP(Q111,Exp_Shift[[Rating]:[Rating]],Exp_Shift[[Number]:[Number]],0,0),_xlpm.Init,_xlfn.XLOOKUP(Q65,Exp_Shift[[Rating]:[Rating]],Exp_Shift[[Number]:[Number]],0,0),_xlpm.X,_xlfn.XLOOKUP(X65,Exp_Shift[[Rating]:[Rating]],Exp_Shift[[Number]:[Number]],0,0), IF(_xlpm.Fin-_xlpm.Init&gt;0, _xlfn.XLOOKUP(MIN(4,_xlpm.X+_xlpm.Fin-_xlpm.Init),Exp_Shift[[Number]:[Number]],Exp_Shift[[Rating]:[Rating]],0,0),IF(_xlpm.Fin-_xlpm.Init&lt;0,_xlfn.XLOOKUP(MAX(0,_xlpm.X-1),Exp_Shift[[Number]:[Number]],Exp_Shift[[Rating]:[Rating]],0,0),X65)))</f>
        <v>E</v>
      </c>
      <c r="Y111" s="23" t="str" cm="1">
        <f t="array" ref="Y111">_xlfn.LET(_xlpm.Fin,_xlfn.XLOOKUP(K111,Exp_Shift[[Rating]:[Rating]],Exp_Shift[[Number]:[Number]],0,0),_xlpm.Init,_xlfn.XLOOKUP(K65,Exp_Shift[[Rating]:[Rating]],Exp_Shift[[Number]:[Number]],0,0),_xlpm.X,_xlfn.XLOOKUP(Y65,Exp_Shift[[Rating]:[Rating]],Exp_Shift[[Number]:[Number]],0,0), IF(_xlpm.Fin-_xlpm.Init&gt;0, _xlfn.XLOOKUP(MIN(4,_xlpm.X+1),Exp_Shift[[Number]:[Number]],Exp_Shift[[Rating]:[Rating]],0,0),IF(_xlpm.Fin-_xlpm.Init&lt;0,_xlfn.XLOOKUP(MAX(0,_xlpm.X),Exp_Shift[[Number]:[Number]],Exp_Shift[[Rating]:[Rating]],0,0),Y65)))</f>
        <v>E</v>
      </c>
      <c r="Z111" t="str" cm="1">
        <f t="array" ref="Z111">_xlfn.LET(_xlpm.Fin,_xlfn.XLOOKUP(L111,Exp_Shift[[Rating]:[Rating]],Exp_Shift[[Number]:[Number]],0,0),_xlpm.Init,_xlfn.XLOOKUP(L65,Exp_Shift[[Rating]:[Rating]],Exp_Shift[[Number]:[Number]],0,0),_xlpm.X,_xlfn.XLOOKUP(Z65,Exp_Shift[[Rating]:[Rating]],Exp_Shift[[Number]:[Number]],0,0), IF(_xlpm.Fin-_xlpm.Init&gt;0, _xlfn.XLOOKUP(MIN(4,_xlpm.X+1),Exp_Shift[[Number]:[Number]],Exp_Shift[[Rating]:[Rating]],0,0),IF(_xlpm.Fin-_xlpm.Init&lt;0,_xlfn.XLOOKUP(MAX(0,_xlpm.X),Exp_Shift[[Number]:[Number]],Exp_Shift[[Rating]:[Rating]],0,0),Z65)))</f>
        <v>E</v>
      </c>
      <c r="AA111" t="str" cm="1">
        <f t="array" ref="AA111">_xlfn.LET(_xlpm.Fin,_xlfn.XLOOKUP(M111,Exp_Shift[[Rating]:[Rating]],Exp_Shift[[Number]:[Number]],0,0),_xlpm.Init,_xlfn.XLOOKUP(M65,Exp_Shift[[Rating]:[Rating]],Exp_Shift[[Number]:[Number]],0,0),_xlpm.X,_xlfn.XLOOKUP(AA65,Exp_Shift[[Rating]:[Rating]],Exp_Shift[[Number]:[Number]],0,0), IF(_xlpm.Fin-_xlpm.Init&gt;0, _xlfn.XLOOKUP(MIN(4,_xlpm.X+1),Exp_Shift[[Number]:[Number]],Exp_Shift[[Rating]:[Rating]],0,0),IF(_xlpm.Fin-_xlpm.Init&lt;0,_xlfn.XLOOKUP(MAX(0,_xlpm.X),Exp_Shift[[Number]:[Number]],Exp_Shift[[Rating]:[Rating]],0,0),AA65)))</f>
        <v>E</v>
      </c>
      <c r="AB111" t="str" cm="1">
        <f t="array" ref="AB111">_xlfn.LET(_xlpm.Fin,_xlfn.XLOOKUP(N111,Exp_Shift[[Rating]:[Rating]],Exp_Shift[[Number]:[Number]],0,0),_xlpm.Init,_xlfn.XLOOKUP(N65,Exp_Shift[[Rating]:[Rating]],Exp_Shift[[Number]:[Number]],0,0),_xlpm.X,_xlfn.XLOOKUP(AB65,Exp_Shift[[Rating]:[Rating]],Exp_Shift[[Number]:[Number]],0,0), IF(_xlpm.Fin-_xlpm.Init&gt;0, _xlfn.XLOOKUP(MIN(4,_xlpm.X+1),Exp_Shift[[Number]:[Number]],Exp_Shift[[Rating]:[Rating]],0,0),IF(_xlpm.Fin-_xlpm.Init&lt;0,_xlfn.XLOOKUP(MAX(0,_xlpm.X),Exp_Shift[[Number]:[Number]],Exp_Shift[[Rating]:[Rating]],0,0),AB65)))</f>
        <v>H</v>
      </c>
      <c r="AC111" t="str" cm="1">
        <f t="array" ref="AC111">_xlfn.LET(_xlpm.Fin,_xlfn.XLOOKUP(O111,Exp_Shift[[Rating]:[Rating]],Exp_Shift[[Number]:[Number]],0,0),_xlpm.Init,_xlfn.XLOOKUP(O65,Exp_Shift[[Rating]:[Rating]],Exp_Shift[[Number]:[Number]],0,0),_xlpm.X,_xlfn.XLOOKUP(AC65,Exp_Shift[[Rating]:[Rating]],Exp_Shift[[Number]:[Number]],0,0), IF(_xlpm.Fin-_xlpm.Init&gt;0, _xlfn.XLOOKUP(MIN(4,_xlpm.X+1),Exp_Shift[[Number]:[Number]],Exp_Shift[[Rating]:[Rating]],0,0),IF(_xlpm.Fin-_xlpm.Init&lt;0,_xlfn.XLOOKUP(MAX(0,_xlpm.X),Exp_Shift[[Number]:[Number]],Exp_Shift[[Rating]:[Rating]],0,0),AC65)))</f>
        <v>L</v>
      </c>
      <c r="AD111" t="str" cm="1">
        <f t="array" ref="AD111">_xlfn.LET(_xlpm.Fin,_xlfn.XLOOKUP(P111,Exp_Shift[[Rating]:[Rating]],Exp_Shift[[Number]:[Number]],0,0),_xlpm.Init,_xlfn.XLOOKUP(P65,Exp_Shift[[Rating]:[Rating]],Exp_Shift[[Number]:[Number]],0,0),_xlpm.X,_xlfn.XLOOKUP(AD65,Exp_Shift[[Rating]:[Rating]],Exp_Shift[[Number]:[Number]],0,0), IF(_xlpm.Fin-_xlpm.Init&gt;0, _xlfn.XLOOKUP(MIN(4,_xlpm.X+1),Exp_Shift[[Number]:[Number]],Exp_Shift[[Rating]:[Rating]],0,0),IF(_xlpm.Fin-_xlpm.Init&lt;0,_xlfn.XLOOKUP(MAX(0,_xlpm.X),Exp_Shift[[Number]:[Number]],Exp_Shift[[Rating]:[Rating]],0,0),AD65)))</f>
        <v>L</v>
      </c>
      <c r="AE111" s="27" t="str" cm="1">
        <f t="array" ref="AE111">_xlfn.LET(_xlpm.Fin,_xlfn.XLOOKUP(Q111,Exp_Shift[[Rating]:[Rating]],Exp_Shift[[Number]:[Number]],0,0),_xlpm.Init,_xlfn.XLOOKUP(Q65,Exp_Shift[[Rating]:[Rating]],Exp_Shift[[Number]:[Number]],0,0),_xlpm.X,_xlfn.XLOOKUP(AE65,Exp_Shift[[Rating]:[Rating]],Exp_Shift[[Number]:[Number]],0,0), IF(_xlpm.Fin-_xlpm.Init&gt;0, _xlfn.XLOOKUP(MIN(4,_xlpm.X+1),Exp_Shift[[Number]:[Number]],Exp_Shift[[Rating]:[Rating]],0,0),IF(_xlpm.Fin-_xlpm.Init&lt;0,_xlfn.XLOOKUP(MAX(0,_xlpm.X),Exp_Shift[[Number]:[Number]],Exp_Shift[[Rating]:[Rating]],0,0),AE65)))</f>
        <v>E</v>
      </c>
    </row>
    <row r="112" spans="8:31" ht="18" x14ac:dyDescent="0.35">
      <c r="H112" s="26">
        <v>55</v>
      </c>
      <c r="I112" s="332" t="s">
        <v>120</v>
      </c>
      <c r="J112" s="328" t="s">
        <v>70</v>
      </c>
      <c r="K112" s="23" t="str" cm="1">
        <f t="array" ref="K112">_xlfn.SWITCH(K89,"N/A","L","L","M","M","H","H","E","E","N/A")</f>
        <v>H</v>
      </c>
      <c r="L112" t="str" cm="1">
        <f t="array" ref="L112">_xlfn.SWITCH(L89,"N/A","L","L","M","M","H","H","E","E","N/A")</f>
        <v>E</v>
      </c>
      <c r="M112" t="str" cm="1">
        <f t="array" ref="M112">_xlfn.SWITCH(M89,"N/A","L","L","M","M","H","H","E","E","N/A")</f>
        <v>N/A</v>
      </c>
      <c r="N112" t="str" cm="1">
        <f t="array" ref="N112">_xlfn.SWITCH(N89,"N/A","L","L","M","M","H","H","E","E","N/A")</f>
        <v>H</v>
      </c>
      <c r="O112" t="str" cm="1">
        <f t="array" ref="O112">_xlfn.SWITCH(O89,"N/A","L","L","M","M","H","H","E","E","N/A")</f>
        <v>M</v>
      </c>
      <c r="P112" t="str" cm="1">
        <f t="array" ref="P112">_xlfn.SWITCH(P89,"N/A","L","L","M","M","H","H","E","E","N/A")</f>
        <v>M</v>
      </c>
      <c r="Q112" s="19" t="str" cm="1">
        <f t="array" ref="Q112">_xlfn.SWITCH(Q89,"N/A","L","L","M","M","H","H","E","E","N/A")</f>
        <v>E</v>
      </c>
      <c r="R112" s="23" t="str" cm="1">
        <f t="array" ref="R112">_xlfn.LET(_xlpm.Fin,_xlfn.XLOOKUP(K112,Exp_Shift[[Rating]:[Rating]],Exp_Shift[[Number]:[Number]],0,0),_xlpm.Init,_xlfn.XLOOKUP(K66,Exp_Shift[[Rating]:[Rating]],Exp_Shift[[Number]:[Number]],0,0),_xlpm.X,_xlfn.XLOOKUP(R66,Exp_Shift[[Rating]:[Rating]],Exp_Shift[[Number]:[Number]],0,0), IF(_xlpm.Fin-_xlpm.Init&gt;0, _xlfn.XLOOKUP(MIN(4,_xlpm.X+_xlpm.Fin-_xlpm.Init),Exp_Shift[[Number]:[Number]],Exp_Shift[[Rating]:[Rating]],0,0),IF(_xlpm.Fin-_xlpm.Init&lt;0,_xlfn.XLOOKUP(MAX(0,_xlpm.X-1),Exp_Shift[[Number]:[Number]],Exp_Shift[[Rating]:[Rating]],0,0),R66)))</f>
        <v>E</v>
      </c>
      <c r="S112" t="str" cm="1">
        <f t="array" ref="S112">_xlfn.LET(_xlpm.Fin,_xlfn.XLOOKUP(L112,Exp_Shift[[Rating]:[Rating]],Exp_Shift[[Number]:[Number]],0,0),_xlpm.Init,_xlfn.XLOOKUP(L66,Exp_Shift[[Rating]:[Rating]],Exp_Shift[[Number]:[Number]],0,0),_xlpm.X,_xlfn.XLOOKUP(S66,Exp_Shift[[Rating]:[Rating]],Exp_Shift[[Number]:[Number]],0,0), IF(_xlpm.Fin-_xlpm.Init&gt;0, _xlfn.XLOOKUP(MIN(4,_xlpm.X+_xlpm.Fin-_xlpm.Init),Exp_Shift[[Number]:[Number]],Exp_Shift[[Rating]:[Rating]],0,0),IF(_xlpm.Fin-_xlpm.Init&lt;0,_xlfn.XLOOKUP(MAX(0,_xlpm.X-1),Exp_Shift[[Number]:[Number]],Exp_Shift[[Rating]:[Rating]],0,0),S66)))</f>
        <v>E</v>
      </c>
      <c r="T112" t="str" cm="1">
        <f t="array" ref="T112">_xlfn.LET(_xlpm.Fin,_xlfn.XLOOKUP(M112,Exp_Shift[[Rating]:[Rating]],Exp_Shift[[Number]:[Number]],0,0),_xlpm.Init,_xlfn.XLOOKUP(M66,Exp_Shift[[Rating]:[Rating]],Exp_Shift[[Number]:[Number]],0,0),_xlpm.X,_xlfn.XLOOKUP(T66,Exp_Shift[[Rating]:[Rating]],Exp_Shift[[Number]:[Number]],0,0), IF(_xlpm.Fin-_xlpm.Init&gt;0, _xlfn.XLOOKUP(MIN(4,_xlpm.X+_xlpm.Fin-_xlpm.Init),Exp_Shift[[Number]:[Number]],Exp_Shift[[Rating]:[Rating]],0,0),IF(_xlpm.Fin-_xlpm.Init&lt;0,_xlfn.XLOOKUP(MAX(0,_xlpm.X-1),Exp_Shift[[Number]:[Number]],Exp_Shift[[Rating]:[Rating]],0,0),T66)))</f>
        <v>H</v>
      </c>
      <c r="U112" t="str" cm="1">
        <f t="array" ref="U112">_xlfn.LET(_xlpm.Fin,_xlfn.XLOOKUP(N112,Exp_Shift[[Rating]:[Rating]],Exp_Shift[[Number]:[Number]],0,0),_xlpm.Init,_xlfn.XLOOKUP(N66,Exp_Shift[[Rating]:[Rating]],Exp_Shift[[Number]:[Number]],0,0),_xlpm.X,_xlfn.XLOOKUP(U66,Exp_Shift[[Rating]:[Rating]],Exp_Shift[[Number]:[Number]],0,0), IF(_xlpm.Fin-_xlpm.Init&gt;0, _xlfn.XLOOKUP(MIN(4,_xlpm.X+_xlpm.Fin-_xlpm.Init),Exp_Shift[[Number]:[Number]],Exp_Shift[[Rating]:[Rating]],0,0),IF(_xlpm.Fin-_xlpm.Init&lt;0,_xlfn.XLOOKUP(MAX(0,_xlpm.X-1),Exp_Shift[[Number]:[Number]],Exp_Shift[[Rating]:[Rating]],0,0),U66)))</f>
        <v>E</v>
      </c>
      <c r="V112" t="str" cm="1">
        <f t="array" ref="V112">_xlfn.LET(_xlpm.Fin,_xlfn.XLOOKUP(O112,Exp_Shift[[Rating]:[Rating]],Exp_Shift[[Number]:[Number]],0,0),_xlpm.Init,_xlfn.XLOOKUP(O66,Exp_Shift[[Rating]:[Rating]],Exp_Shift[[Number]:[Number]],0,0),_xlpm.X,_xlfn.XLOOKUP(V66,Exp_Shift[[Rating]:[Rating]],Exp_Shift[[Number]:[Number]],0,0), IF(_xlpm.Fin-_xlpm.Init&gt;0, _xlfn.XLOOKUP(MIN(4,_xlpm.X+_xlpm.Fin-_xlpm.Init),Exp_Shift[[Number]:[Number]],Exp_Shift[[Rating]:[Rating]],0,0),IF(_xlpm.Fin-_xlpm.Init&lt;0,_xlfn.XLOOKUP(MAX(0,_xlpm.X-1),Exp_Shift[[Number]:[Number]],Exp_Shift[[Rating]:[Rating]],0,0),V66)))</f>
        <v>M</v>
      </c>
      <c r="W112" t="str" cm="1">
        <f t="array" ref="W112">_xlfn.LET(_xlpm.Fin,_xlfn.XLOOKUP(P112,Exp_Shift[[Rating]:[Rating]],Exp_Shift[[Number]:[Number]],0,0),_xlpm.Init,_xlfn.XLOOKUP(P66,Exp_Shift[[Rating]:[Rating]],Exp_Shift[[Number]:[Number]],0,0),_xlpm.X,_xlfn.XLOOKUP(W66,Exp_Shift[[Rating]:[Rating]],Exp_Shift[[Number]:[Number]],0,0), IF(_xlpm.Fin-_xlpm.Init&gt;0, _xlfn.XLOOKUP(MIN(4,_xlpm.X+_xlpm.Fin-_xlpm.Init),Exp_Shift[[Number]:[Number]],Exp_Shift[[Rating]:[Rating]],0,0),IF(_xlpm.Fin-_xlpm.Init&lt;0,_xlfn.XLOOKUP(MAX(0,_xlpm.X-1),Exp_Shift[[Number]:[Number]],Exp_Shift[[Rating]:[Rating]],0,0),W66)))</f>
        <v>M</v>
      </c>
      <c r="X112" s="19" t="str" cm="1">
        <f t="array" ref="X112">_xlfn.LET(_xlpm.Fin,_xlfn.XLOOKUP(Q112,Exp_Shift[[Rating]:[Rating]],Exp_Shift[[Number]:[Number]],0,0),_xlpm.Init,_xlfn.XLOOKUP(Q66,Exp_Shift[[Rating]:[Rating]],Exp_Shift[[Number]:[Number]],0,0),_xlpm.X,_xlfn.XLOOKUP(X66,Exp_Shift[[Rating]:[Rating]],Exp_Shift[[Number]:[Number]],0,0), IF(_xlpm.Fin-_xlpm.Init&gt;0, _xlfn.XLOOKUP(MIN(4,_xlpm.X+_xlpm.Fin-_xlpm.Init),Exp_Shift[[Number]:[Number]],Exp_Shift[[Rating]:[Rating]],0,0),IF(_xlpm.Fin-_xlpm.Init&lt;0,_xlfn.XLOOKUP(MAX(0,_xlpm.X-1),Exp_Shift[[Number]:[Number]],Exp_Shift[[Rating]:[Rating]],0,0),X66)))</f>
        <v>E</v>
      </c>
      <c r="Y112" s="23" t="str" cm="1">
        <f t="array" ref="Y112">_xlfn.LET(_xlpm.Fin,_xlfn.XLOOKUP(K112,Exp_Shift[[Rating]:[Rating]],Exp_Shift[[Number]:[Number]],0,0),_xlpm.Init,_xlfn.XLOOKUP(K66,Exp_Shift[[Rating]:[Rating]],Exp_Shift[[Number]:[Number]],0,0),_xlpm.X,_xlfn.XLOOKUP(Y66,Exp_Shift[[Rating]:[Rating]],Exp_Shift[[Number]:[Number]],0,0), IF(_xlpm.Fin-_xlpm.Init&gt;0, _xlfn.XLOOKUP(MIN(4,_xlpm.X+1),Exp_Shift[[Number]:[Number]],Exp_Shift[[Rating]:[Rating]],0,0),IF(_xlpm.Fin-_xlpm.Init&lt;0,_xlfn.XLOOKUP(MAX(0,_xlpm.X),Exp_Shift[[Number]:[Number]],Exp_Shift[[Rating]:[Rating]],0,0),Y66)))</f>
        <v>E</v>
      </c>
      <c r="Z112" t="str" cm="1">
        <f t="array" ref="Z112">_xlfn.LET(_xlpm.Fin,_xlfn.XLOOKUP(L112,Exp_Shift[[Rating]:[Rating]],Exp_Shift[[Number]:[Number]],0,0),_xlpm.Init,_xlfn.XLOOKUP(L66,Exp_Shift[[Rating]:[Rating]],Exp_Shift[[Number]:[Number]],0,0),_xlpm.X,_xlfn.XLOOKUP(Z66,Exp_Shift[[Rating]:[Rating]],Exp_Shift[[Number]:[Number]],0,0), IF(_xlpm.Fin-_xlpm.Init&gt;0, _xlfn.XLOOKUP(MIN(4,_xlpm.X+1),Exp_Shift[[Number]:[Number]],Exp_Shift[[Rating]:[Rating]],0,0),IF(_xlpm.Fin-_xlpm.Init&lt;0,_xlfn.XLOOKUP(MAX(0,_xlpm.X),Exp_Shift[[Number]:[Number]],Exp_Shift[[Rating]:[Rating]],0,0),Z66)))</f>
        <v>E</v>
      </c>
      <c r="AA112" t="str" cm="1">
        <f t="array" ref="AA112">_xlfn.LET(_xlpm.Fin,_xlfn.XLOOKUP(M112,Exp_Shift[[Rating]:[Rating]],Exp_Shift[[Number]:[Number]],0,0),_xlpm.Init,_xlfn.XLOOKUP(M66,Exp_Shift[[Rating]:[Rating]],Exp_Shift[[Number]:[Number]],0,0),_xlpm.X,_xlfn.XLOOKUP(AA66,Exp_Shift[[Rating]:[Rating]],Exp_Shift[[Number]:[Number]],0,0), IF(_xlpm.Fin-_xlpm.Init&gt;0, _xlfn.XLOOKUP(MIN(4,_xlpm.X+1),Exp_Shift[[Number]:[Number]],Exp_Shift[[Rating]:[Rating]],0,0),IF(_xlpm.Fin-_xlpm.Init&lt;0,_xlfn.XLOOKUP(MAX(0,_xlpm.X),Exp_Shift[[Number]:[Number]],Exp_Shift[[Rating]:[Rating]],0,0),AA66)))</f>
        <v>E</v>
      </c>
      <c r="AB112" t="str" cm="1">
        <f t="array" ref="AB112">_xlfn.LET(_xlpm.Fin,_xlfn.XLOOKUP(N112,Exp_Shift[[Rating]:[Rating]],Exp_Shift[[Number]:[Number]],0,0),_xlpm.Init,_xlfn.XLOOKUP(N66,Exp_Shift[[Rating]:[Rating]],Exp_Shift[[Number]:[Number]],0,0),_xlpm.X,_xlfn.XLOOKUP(AB66,Exp_Shift[[Rating]:[Rating]],Exp_Shift[[Number]:[Number]],0,0), IF(_xlpm.Fin-_xlpm.Init&gt;0, _xlfn.XLOOKUP(MIN(4,_xlpm.X+1),Exp_Shift[[Number]:[Number]],Exp_Shift[[Rating]:[Rating]],0,0),IF(_xlpm.Fin-_xlpm.Init&lt;0,_xlfn.XLOOKUP(MAX(0,_xlpm.X),Exp_Shift[[Number]:[Number]],Exp_Shift[[Rating]:[Rating]],0,0),AB66)))</f>
        <v>E</v>
      </c>
      <c r="AC112" t="str" cm="1">
        <f t="array" ref="AC112">_xlfn.LET(_xlpm.Fin,_xlfn.XLOOKUP(O112,Exp_Shift[[Rating]:[Rating]],Exp_Shift[[Number]:[Number]],0,0),_xlpm.Init,_xlfn.XLOOKUP(O66,Exp_Shift[[Rating]:[Rating]],Exp_Shift[[Number]:[Number]],0,0),_xlpm.X,_xlfn.XLOOKUP(AC66,Exp_Shift[[Rating]:[Rating]],Exp_Shift[[Number]:[Number]],0,0), IF(_xlpm.Fin-_xlpm.Init&gt;0, _xlfn.XLOOKUP(MIN(4,_xlpm.X+1),Exp_Shift[[Number]:[Number]],Exp_Shift[[Rating]:[Rating]],0,0),IF(_xlpm.Fin-_xlpm.Init&lt;0,_xlfn.XLOOKUP(MAX(0,_xlpm.X),Exp_Shift[[Number]:[Number]],Exp_Shift[[Rating]:[Rating]],0,0),AC66)))</f>
        <v>L</v>
      </c>
      <c r="AD112" t="str" cm="1">
        <f t="array" ref="AD112">_xlfn.LET(_xlpm.Fin,_xlfn.XLOOKUP(P112,Exp_Shift[[Rating]:[Rating]],Exp_Shift[[Number]:[Number]],0,0),_xlpm.Init,_xlfn.XLOOKUP(P66,Exp_Shift[[Rating]:[Rating]],Exp_Shift[[Number]:[Number]],0,0),_xlpm.X,_xlfn.XLOOKUP(AD66,Exp_Shift[[Rating]:[Rating]],Exp_Shift[[Number]:[Number]],0,0), IF(_xlpm.Fin-_xlpm.Init&gt;0, _xlfn.XLOOKUP(MIN(4,_xlpm.X+1),Exp_Shift[[Number]:[Number]],Exp_Shift[[Rating]:[Rating]],0,0),IF(_xlpm.Fin-_xlpm.Init&lt;0,_xlfn.XLOOKUP(MAX(0,_xlpm.X),Exp_Shift[[Number]:[Number]],Exp_Shift[[Rating]:[Rating]],0,0),AD66)))</f>
        <v>L</v>
      </c>
      <c r="AE112" s="27" t="str" cm="1">
        <f t="array" ref="AE112">_xlfn.LET(_xlpm.Fin,_xlfn.XLOOKUP(Q112,Exp_Shift[[Rating]:[Rating]],Exp_Shift[[Number]:[Number]],0,0),_xlpm.Init,_xlfn.XLOOKUP(Q66,Exp_Shift[[Rating]:[Rating]],Exp_Shift[[Number]:[Number]],0,0),_xlpm.X,_xlfn.XLOOKUP(AE66,Exp_Shift[[Rating]:[Rating]],Exp_Shift[[Number]:[Number]],0,0), IF(_xlpm.Fin-_xlpm.Init&gt;0, _xlfn.XLOOKUP(MIN(4,_xlpm.X+1),Exp_Shift[[Number]:[Number]],Exp_Shift[[Rating]:[Rating]],0,0),IF(_xlpm.Fin-_xlpm.Init&lt;0,_xlfn.XLOOKUP(MAX(0,_xlpm.X),Exp_Shift[[Number]:[Number]],Exp_Shift[[Rating]:[Rating]],0,0),AE66)))</f>
        <v>E</v>
      </c>
    </row>
    <row r="113" spans="8:31" ht="18" x14ac:dyDescent="0.35">
      <c r="H113" s="26">
        <v>56</v>
      </c>
      <c r="I113" s="332" t="s">
        <v>120</v>
      </c>
      <c r="J113" s="328" t="s">
        <v>223</v>
      </c>
      <c r="K113" s="23" t="str" cm="1">
        <f t="array" ref="K113">_xlfn.SWITCH(K90,"N/A","L","L","M","M","H","H","E","E","N/A")</f>
        <v>H</v>
      </c>
      <c r="L113" t="str" cm="1">
        <f t="array" ref="L113">_xlfn.SWITCH(L90,"N/A","L","L","M","M","H","H","E","E","N/A")</f>
        <v>E</v>
      </c>
      <c r="M113" t="str" cm="1">
        <f t="array" ref="M113">_xlfn.SWITCH(M90,"N/A","L","L","M","M","H","H","E","E","N/A")</f>
        <v>N/A</v>
      </c>
      <c r="N113" t="str" cm="1">
        <f t="array" ref="N113">_xlfn.SWITCH(N90,"N/A","L","L","M","M","H","H","E","E","N/A")</f>
        <v>H</v>
      </c>
      <c r="O113" t="str" cm="1">
        <f t="array" ref="O113">_xlfn.SWITCH(O90,"N/A","L","L","M","M","H","H","E","E","N/A")</f>
        <v>M</v>
      </c>
      <c r="P113" t="str" cm="1">
        <f t="array" ref="P113">_xlfn.SWITCH(P90,"N/A","L","L","M","M","H","H","E","E","N/A")</f>
        <v>M</v>
      </c>
      <c r="Q113" s="19" t="str" cm="1">
        <f t="array" ref="Q113">_xlfn.SWITCH(Q90,"N/A","L","L","M","M","H","H","E","E","N/A")</f>
        <v>E</v>
      </c>
      <c r="R113" s="23" t="str" cm="1">
        <f t="array" ref="R113">_xlfn.LET(_xlpm.Fin,_xlfn.XLOOKUP(K113,Exp_Shift[[Rating]:[Rating]],Exp_Shift[[Number]:[Number]],0,0),_xlpm.Init,_xlfn.XLOOKUP(K67,Exp_Shift[[Rating]:[Rating]],Exp_Shift[[Number]:[Number]],0,0),_xlpm.X,_xlfn.XLOOKUP(R67,Exp_Shift[[Rating]:[Rating]],Exp_Shift[[Number]:[Number]],0,0), IF(_xlpm.Fin-_xlpm.Init&gt;0, _xlfn.XLOOKUP(MIN(4,_xlpm.X+_xlpm.Fin-_xlpm.Init),Exp_Shift[[Number]:[Number]],Exp_Shift[[Rating]:[Rating]],0,0),IF(_xlpm.Fin-_xlpm.Init&lt;0,_xlfn.XLOOKUP(MAX(0,_xlpm.X-1),Exp_Shift[[Number]:[Number]],Exp_Shift[[Rating]:[Rating]],0,0),R67)))</f>
        <v>E</v>
      </c>
      <c r="S113" t="str" cm="1">
        <f t="array" ref="S113">_xlfn.LET(_xlpm.Fin,_xlfn.XLOOKUP(L113,Exp_Shift[[Rating]:[Rating]],Exp_Shift[[Number]:[Number]],0,0),_xlpm.Init,_xlfn.XLOOKUP(L67,Exp_Shift[[Rating]:[Rating]],Exp_Shift[[Number]:[Number]],0,0),_xlpm.X,_xlfn.XLOOKUP(S67,Exp_Shift[[Rating]:[Rating]],Exp_Shift[[Number]:[Number]],0,0), IF(_xlpm.Fin-_xlpm.Init&gt;0, _xlfn.XLOOKUP(MIN(4,_xlpm.X+_xlpm.Fin-_xlpm.Init),Exp_Shift[[Number]:[Number]],Exp_Shift[[Rating]:[Rating]],0,0),IF(_xlpm.Fin-_xlpm.Init&lt;0,_xlfn.XLOOKUP(MAX(0,_xlpm.X-1),Exp_Shift[[Number]:[Number]],Exp_Shift[[Rating]:[Rating]],0,0),S67)))</f>
        <v>E</v>
      </c>
      <c r="T113" t="str" cm="1">
        <f t="array" ref="T113">_xlfn.LET(_xlpm.Fin,_xlfn.XLOOKUP(M113,Exp_Shift[[Rating]:[Rating]],Exp_Shift[[Number]:[Number]],0,0),_xlpm.Init,_xlfn.XLOOKUP(M67,Exp_Shift[[Rating]:[Rating]],Exp_Shift[[Number]:[Number]],0,0),_xlpm.X,_xlfn.XLOOKUP(T67,Exp_Shift[[Rating]:[Rating]],Exp_Shift[[Number]:[Number]],0,0), IF(_xlpm.Fin-_xlpm.Init&gt;0, _xlfn.XLOOKUP(MIN(4,_xlpm.X+_xlpm.Fin-_xlpm.Init),Exp_Shift[[Number]:[Number]],Exp_Shift[[Rating]:[Rating]],0,0),IF(_xlpm.Fin-_xlpm.Init&lt;0,_xlfn.XLOOKUP(MAX(0,_xlpm.X-1),Exp_Shift[[Number]:[Number]],Exp_Shift[[Rating]:[Rating]],0,0),T67)))</f>
        <v>H</v>
      </c>
      <c r="U113" t="str" cm="1">
        <f t="array" ref="U113">_xlfn.LET(_xlpm.Fin,_xlfn.XLOOKUP(N113,Exp_Shift[[Rating]:[Rating]],Exp_Shift[[Number]:[Number]],0,0),_xlpm.Init,_xlfn.XLOOKUP(N67,Exp_Shift[[Rating]:[Rating]],Exp_Shift[[Number]:[Number]],0,0),_xlpm.X,_xlfn.XLOOKUP(U67,Exp_Shift[[Rating]:[Rating]],Exp_Shift[[Number]:[Number]],0,0), IF(_xlpm.Fin-_xlpm.Init&gt;0, _xlfn.XLOOKUP(MIN(4,_xlpm.X+_xlpm.Fin-_xlpm.Init),Exp_Shift[[Number]:[Number]],Exp_Shift[[Rating]:[Rating]],0,0),IF(_xlpm.Fin-_xlpm.Init&lt;0,_xlfn.XLOOKUP(MAX(0,_xlpm.X-1),Exp_Shift[[Number]:[Number]],Exp_Shift[[Rating]:[Rating]],0,0),U67)))</f>
        <v>H</v>
      </c>
      <c r="V113" t="str" cm="1">
        <f t="array" ref="V113">_xlfn.LET(_xlpm.Fin,_xlfn.XLOOKUP(O113,Exp_Shift[[Rating]:[Rating]],Exp_Shift[[Number]:[Number]],0,0),_xlpm.Init,_xlfn.XLOOKUP(O67,Exp_Shift[[Rating]:[Rating]],Exp_Shift[[Number]:[Number]],0,0),_xlpm.X,_xlfn.XLOOKUP(V67,Exp_Shift[[Rating]:[Rating]],Exp_Shift[[Number]:[Number]],0,0), IF(_xlpm.Fin-_xlpm.Init&gt;0, _xlfn.XLOOKUP(MIN(4,_xlpm.X+_xlpm.Fin-_xlpm.Init),Exp_Shift[[Number]:[Number]],Exp_Shift[[Rating]:[Rating]],0,0),IF(_xlpm.Fin-_xlpm.Init&lt;0,_xlfn.XLOOKUP(MAX(0,_xlpm.X-1),Exp_Shift[[Number]:[Number]],Exp_Shift[[Rating]:[Rating]],0,0),V67)))</f>
        <v>M</v>
      </c>
      <c r="W113" t="str" cm="1">
        <f t="array" ref="W113">_xlfn.LET(_xlpm.Fin,_xlfn.XLOOKUP(P113,Exp_Shift[[Rating]:[Rating]],Exp_Shift[[Number]:[Number]],0,0),_xlpm.Init,_xlfn.XLOOKUP(P67,Exp_Shift[[Rating]:[Rating]],Exp_Shift[[Number]:[Number]],0,0),_xlpm.X,_xlfn.XLOOKUP(W67,Exp_Shift[[Rating]:[Rating]],Exp_Shift[[Number]:[Number]],0,0), IF(_xlpm.Fin-_xlpm.Init&gt;0, _xlfn.XLOOKUP(MIN(4,_xlpm.X+_xlpm.Fin-_xlpm.Init),Exp_Shift[[Number]:[Number]],Exp_Shift[[Rating]:[Rating]],0,0),IF(_xlpm.Fin-_xlpm.Init&lt;0,_xlfn.XLOOKUP(MAX(0,_xlpm.X-1),Exp_Shift[[Number]:[Number]],Exp_Shift[[Rating]:[Rating]],0,0),W67)))</f>
        <v>M</v>
      </c>
      <c r="X113" s="19" t="str" cm="1">
        <f t="array" ref="X113">_xlfn.LET(_xlpm.Fin,_xlfn.XLOOKUP(Q113,Exp_Shift[[Rating]:[Rating]],Exp_Shift[[Number]:[Number]],0,0),_xlpm.Init,_xlfn.XLOOKUP(Q67,Exp_Shift[[Rating]:[Rating]],Exp_Shift[[Number]:[Number]],0,0),_xlpm.X,_xlfn.XLOOKUP(X67,Exp_Shift[[Rating]:[Rating]],Exp_Shift[[Number]:[Number]],0,0), IF(_xlpm.Fin-_xlpm.Init&gt;0, _xlfn.XLOOKUP(MIN(4,_xlpm.X+_xlpm.Fin-_xlpm.Init),Exp_Shift[[Number]:[Number]],Exp_Shift[[Rating]:[Rating]],0,0),IF(_xlpm.Fin-_xlpm.Init&lt;0,_xlfn.XLOOKUP(MAX(0,_xlpm.X-1),Exp_Shift[[Number]:[Number]],Exp_Shift[[Rating]:[Rating]],0,0),X67)))</f>
        <v>E</v>
      </c>
      <c r="Y113" s="23" t="str" cm="1">
        <f t="array" ref="Y113">_xlfn.LET(_xlpm.Fin,_xlfn.XLOOKUP(K113,Exp_Shift[[Rating]:[Rating]],Exp_Shift[[Number]:[Number]],0,0),_xlpm.Init,_xlfn.XLOOKUP(K67,Exp_Shift[[Rating]:[Rating]],Exp_Shift[[Number]:[Number]],0,0),_xlpm.X,_xlfn.XLOOKUP(Y67,Exp_Shift[[Rating]:[Rating]],Exp_Shift[[Number]:[Number]],0,0), IF(_xlpm.Fin-_xlpm.Init&gt;0, _xlfn.XLOOKUP(MIN(4,_xlpm.X+1),Exp_Shift[[Number]:[Number]],Exp_Shift[[Rating]:[Rating]],0,0),IF(_xlpm.Fin-_xlpm.Init&lt;0,_xlfn.XLOOKUP(MAX(0,_xlpm.X),Exp_Shift[[Number]:[Number]],Exp_Shift[[Rating]:[Rating]],0,0),Y67)))</f>
        <v>E</v>
      </c>
      <c r="Z113" t="str" cm="1">
        <f t="array" ref="Z113">_xlfn.LET(_xlpm.Fin,_xlfn.XLOOKUP(L113,Exp_Shift[[Rating]:[Rating]],Exp_Shift[[Number]:[Number]],0,0),_xlpm.Init,_xlfn.XLOOKUP(L67,Exp_Shift[[Rating]:[Rating]],Exp_Shift[[Number]:[Number]],0,0),_xlpm.X,_xlfn.XLOOKUP(Z67,Exp_Shift[[Rating]:[Rating]],Exp_Shift[[Number]:[Number]],0,0), IF(_xlpm.Fin-_xlpm.Init&gt;0, _xlfn.XLOOKUP(MIN(4,_xlpm.X+1),Exp_Shift[[Number]:[Number]],Exp_Shift[[Rating]:[Rating]],0,0),IF(_xlpm.Fin-_xlpm.Init&lt;0,_xlfn.XLOOKUP(MAX(0,_xlpm.X),Exp_Shift[[Number]:[Number]],Exp_Shift[[Rating]:[Rating]],0,0),Z67)))</f>
        <v>E</v>
      </c>
      <c r="AA113" t="str" cm="1">
        <f t="array" ref="AA113">_xlfn.LET(_xlpm.Fin,_xlfn.XLOOKUP(M113,Exp_Shift[[Rating]:[Rating]],Exp_Shift[[Number]:[Number]],0,0),_xlpm.Init,_xlfn.XLOOKUP(M67,Exp_Shift[[Rating]:[Rating]],Exp_Shift[[Number]:[Number]],0,0),_xlpm.X,_xlfn.XLOOKUP(AA67,Exp_Shift[[Rating]:[Rating]],Exp_Shift[[Number]:[Number]],0,0), IF(_xlpm.Fin-_xlpm.Init&gt;0, _xlfn.XLOOKUP(MIN(4,_xlpm.X+1),Exp_Shift[[Number]:[Number]],Exp_Shift[[Rating]:[Rating]],0,0),IF(_xlpm.Fin-_xlpm.Init&lt;0,_xlfn.XLOOKUP(MAX(0,_xlpm.X),Exp_Shift[[Number]:[Number]],Exp_Shift[[Rating]:[Rating]],0,0),AA67)))</f>
        <v>E</v>
      </c>
      <c r="AB113" t="str" cm="1">
        <f t="array" ref="AB113">_xlfn.LET(_xlpm.Fin,_xlfn.XLOOKUP(N113,Exp_Shift[[Rating]:[Rating]],Exp_Shift[[Number]:[Number]],0,0),_xlpm.Init,_xlfn.XLOOKUP(N67,Exp_Shift[[Rating]:[Rating]],Exp_Shift[[Number]:[Number]],0,0),_xlpm.X,_xlfn.XLOOKUP(AB67,Exp_Shift[[Rating]:[Rating]],Exp_Shift[[Number]:[Number]],0,0), IF(_xlpm.Fin-_xlpm.Init&gt;0, _xlfn.XLOOKUP(MIN(4,_xlpm.X+1),Exp_Shift[[Number]:[Number]],Exp_Shift[[Rating]:[Rating]],0,0),IF(_xlpm.Fin-_xlpm.Init&lt;0,_xlfn.XLOOKUP(MAX(0,_xlpm.X),Exp_Shift[[Number]:[Number]],Exp_Shift[[Rating]:[Rating]],0,0),AB67)))</f>
        <v>H</v>
      </c>
      <c r="AC113" t="str" cm="1">
        <f t="array" ref="AC113">_xlfn.LET(_xlpm.Fin,_xlfn.XLOOKUP(O113,Exp_Shift[[Rating]:[Rating]],Exp_Shift[[Number]:[Number]],0,0),_xlpm.Init,_xlfn.XLOOKUP(O67,Exp_Shift[[Rating]:[Rating]],Exp_Shift[[Number]:[Number]],0,0),_xlpm.X,_xlfn.XLOOKUP(AC67,Exp_Shift[[Rating]:[Rating]],Exp_Shift[[Number]:[Number]],0,0), IF(_xlpm.Fin-_xlpm.Init&gt;0, _xlfn.XLOOKUP(MIN(4,_xlpm.X+1),Exp_Shift[[Number]:[Number]],Exp_Shift[[Rating]:[Rating]],0,0),IF(_xlpm.Fin-_xlpm.Init&lt;0,_xlfn.XLOOKUP(MAX(0,_xlpm.X),Exp_Shift[[Number]:[Number]],Exp_Shift[[Rating]:[Rating]],0,0),AC67)))</f>
        <v>L</v>
      </c>
      <c r="AD113" t="str" cm="1">
        <f t="array" ref="AD113">_xlfn.LET(_xlpm.Fin,_xlfn.XLOOKUP(P113,Exp_Shift[[Rating]:[Rating]],Exp_Shift[[Number]:[Number]],0,0),_xlpm.Init,_xlfn.XLOOKUP(P67,Exp_Shift[[Rating]:[Rating]],Exp_Shift[[Number]:[Number]],0,0),_xlpm.X,_xlfn.XLOOKUP(AD67,Exp_Shift[[Rating]:[Rating]],Exp_Shift[[Number]:[Number]],0,0), IF(_xlpm.Fin-_xlpm.Init&gt;0, _xlfn.XLOOKUP(MIN(4,_xlpm.X+1),Exp_Shift[[Number]:[Number]],Exp_Shift[[Rating]:[Rating]],0,0),IF(_xlpm.Fin-_xlpm.Init&lt;0,_xlfn.XLOOKUP(MAX(0,_xlpm.X),Exp_Shift[[Number]:[Number]],Exp_Shift[[Rating]:[Rating]],0,0),AD67)))</f>
        <v>L</v>
      </c>
      <c r="AE113" s="27" t="str" cm="1">
        <f t="array" ref="AE113">_xlfn.LET(_xlpm.Fin,_xlfn.XLOOKUP(Q113,Exp_Shift[[Rating]:[Rating]],Exp_Shift[[Number]:[Number]],0,0),_xlpm.Init,_xlfn.XLOOKUP(Q67,Exp_Shift[[Rating]:[Rating]],Exp_Shift[[Number]:[Number]],0,0),_xlpm.X,_xlfn.XLOOKUP(AE67,Exp_Shift[[Rating]:[Rating]],Exp_Shift[[Number]:[Number]],0,0), IF(_xlpm.Fin-_xlpm.Init&gt;0, _xlfn.XLOOKUP(MIN(4,_xlpm.X+1),Exp_Shift[[Number]:[Number]],Exp_Shift[[Rating]:[Rating]],0,0),IF(_xlpm.Fin-_xlpm.Init&lt;0,_xlfn.XLOOKUP(MAX(0,_xlpm.X),Exp_Shift[[Number]:[Number]],Exp_Shift[[Rating]:[Rating]],0,0),AE67)))</f>
        <v>E</v>
      </c>
    </row>
    <row r="114" spans="8:31" ht="18" x14ac:dyDescent="0.35">
      <c r="H114" s="26">
        <v>57</v>
      </c>
      <c r="I114" s="332" t="s">
        <v>120</v>
      </c>
      <c r="J114" s="328" t="s">
        <v>122</v>
      </c>
      <c r="K114" s="23" t="str" cm="1">
        <f t="array" ref="K114">_xlfn.SWITCH(K91,"N/A","L","L","M","M","H","H","E","E","N/A")</f>
        <v>H</v>
      </c>
      <c r="L114" t="str" cm="1">
        <f t="array" ref="L114">_xlfn.SWITCH(L91,"N/A","L","L","M","M","H","H","E","E","N/A")</f>
        <v>H</v>
      </c>
      <c r="M114" t="str" cm="1">
        <f t="array" ref="M114">_xlfn.SWITCH(M91,"N/A","L","L","M","M","H","H","E","E","N/A")</f>
        <v>E</v>
      </c>
      <c r="N114" t="str" cm="1">
        <f t="array" ref="N114">_xlfn.SWITCH(N91,"N/A","L","L","M","M","H","H","E","E","N/A")</f>
        <v>E</v>
      </c>
      <c r="O114" t="str" cm="1">
        <f t="array" ref="O114">_xlfn.SWITCH(O91,"N/A","L","L","M","M","H","H","E","E","N/A")</f>
        <v>M</v>
      </c>
      <c r="P114" t="str" cm="1">
        <f t="array" ref="P114">_xlfn.SWITCH(P91,"N/A","L","L","M","M","H","H","E","E","N/A")</f>
        <v>M</v>
      </c>
      <c r="Q114" s="19" t="str" cm="1">
        <f t="array" ref="Q114">_xlfn.SWITCH(Q91,"N/A","L","L","M","M","H","H","E","E","N/A")</f>
        <v>E</v>
      </c>
      <c r="R114" s="23" t="str" cm="1">
        <f t="array" ref="R114">_xlfn.LET(_xlpm.Fin,_xlfn.XLOOKUP(K114,Exp_Shift[[Rating]:[Rating]],Exp_Shift[[Number]:[Number]],0,0),_xlpm.Init,_xlfn.XLOOKUP(K68,Exp_Shift[[Rating]:[Rating]],Exp_Shift[[Number]:[Number]],0,0),_xlpm.X,_xlfn.XLOOKUP(R68,Exp_Shift[[Rating]:[Rating]],Exp_Shift[[Number]:[Number]],0,0), IF(_xlpm.Fin-_xlpm.Init&gt;0, _xlfn.XLOOKUP(MIN(4,_xlpm.X+_xlpm.Fin-_xlpm.Init),Exp_Shift[[Number]:[Number]],Exp_Shift[[Rating]:[Rating]],0,0),IF(_xlpm.Fin-_xlpm.Init&lt;0,_xlfn.XLOOKUP(MAX(0,_xlpm.X-1),Exp_Shift[[Number]:[Number]],Exp_Shift[[Rating]:[Rating]],0,0),R68)))</f>
        <v>E</v>
      </c>
      <c r="S114" t="str" cm="1">
        <f t="array" ref="S114">_xlfn.LET(_xlpm.Fin,_xlfn.XLOOKUP(L114,Exp_Shift[[Rating]:[Rating]],Exp_Shift[[Number]:[Number]],0,0),_xlpm.Init,_xlfn.XLOOKUP(L68,Exp_Shift[[Rating]:[Rating]],Exp_Shift[[Number]:[Number]],0,0),_xlpm.X,_xlfn.XLOOKUP(S68,Exp_Shift[[Rating]:[Rating]],Exp_Shift[[Number]:[Number]],0,0), IF(_xlpm.Fin-_xlpm.Init&gt;0, _xlfn.XLOOKUP(MIN(4,_xlpm.X+_xlpm.Fin-_xlpm.Init),Exp_Shift[[Number]:[Number]],Exp_Shift[[Rating]:[Rating]],0,0),IF(_xlpm.Fin-_xlpm.Init&lt;0,_xlfn.XLOOKUP(MAX(0,_xlpm.X-1),Exp_Shift[[Number]:[Number]],Exp_Shift[[Rating]:[Rating]],0,0),S68)))</f>
        <v>E</v>
      </c>
      <c r="T114" t="str" cm="1">
        <f t="array" ref="T114">_xlfn.LET(_xlpm.Fin,_xlfn.XLOOKUP(M114,Exp_Shift[[Rating]:[Rating]],Exp_Shift[[Number]:[Number]],0,0),_xlpm.Init,_xlfn.XLOOKUP(M68,Exp_Shift[[Rating]:[Rating]],Exp_Shift[[Number]:[Number]],0,0),_xlpm.X,_xlfn.XLOOKUP(T68,Exp_Shift[[Rating]:[Rating]],Exp_Shift[[Number]:[Number]],0,0), IF(_xlpm.Fin-_xlpm.Init&gt;0, _xlfn.XLOOKUP(MIN(4,_xlpm.X+_xlpm.Fin-_xlpm.Init),Exp_Shift[[Number]:[Number]],Exp_Shift[[Rating]:[Rating]],0,0),IF(_xlpm.Fin-_xlpm.Init&lt;0,_xlfn.XLOOKUP(MAX(0,_xlpm.X-1),Exp_Shift[[Number]:[Number]],Exp_Shift[[Rating]:[Rating]],0,0),T68)))</f>
        <v>E</v>
      </c>
      <c r="U114" t="str" cm="1">
        <f t="array" ref="U114">_xlfn.LET(_xlpm.Fin,_xlfn.XLOOKUP(N114,Exp_Shift[[Rating]:[Rating]],Exp_Shift[[Number]:[Number]],0,0),_xlpm.Init,_xlfn.XLOOKUP(N68,Exp_Shift[[Rating]:[Rating]],Exp_Shift[[Number]:[Number]],0,0),_xlpm.X,_xlfn.XLOOKUP(U68,Exp_Shift[[Rating]:[Rating]],Exp_Shift[[Number]:[Number]],0,0), IF(_xlpm.Fin-_xlpm.Init&gt;0, _xlfn.XLOOKUP(MIN(4,_xlpm.X+_xlpm.Fin-_xlpm.Init),Exp_Shift[[Number]:[Number]],Exp_Shift[[Rating]:[Rating]],0,0),IF(_xlpm.Fin-_xlpm.Init&lt;0,_xlfn.XLOOKUP(MAX(0,_xlpm.X-1),Exp_Shift[[Number]:[Number]],Exp_Shift[[Rating]:[Rating]],0,0),U68)))</f>
        <v>E</v>
      </c>
      <c r="V114" t="str" cm="1">
        <f t="array" ref="V114">_xlfn.LET(_xlpm.Fin,_xlfn.XLOOKUP(O114,Exp_Shift[[Rating]:[Rating]],Exp_Shift[[Number]:[Number]],0,0),_xlpm.Init,_xlfn.XLOOKUP(O68,Exp_Shift[[Rating]:[Rating]],Exp_Shift[[Number]:[Number]],0,0),_xlpm.X,_xlfn.XLOOKUP(V68,Exp_Shift[[Rating]:[Rating]],Exp_Shift[[Number]:[Number]],0,0), IF(_xlpm.Fin-_xlpm.Init&gt;0, _xlfn.XLOOKUP(MIN(4,_xlpm.X+_xlpm.Fin-_xlpm.Init),Exp_Shift[[Number]:[Number]],Exp_Shift[[Rating]:[Rating]],0,0),IF(_xlpm.Fin-_xlpm.Init&lt;0,_xlfn.XLOOKUP(MAX(0,_xlpm.X-1),Exp_Shift[[Number]:[Number]],Exp_Shift[[Rating]:[Rating]],0,0),V68)))</f>
        <v>M</v>
      </c>
      <c r="W114" t="str" cm="1">
        <f t="array" ref="W114">_xlfn.LET(_xlpm.Fin,_xlfn.XLOOKUP(P114,Exp_Shift[[Rating]:[Rating]],Exp_Shift[[Number]:[Number]],0,0),_xlpm.Init,_xlfn.XLOOKUP(P68,Exp_Shift[[Rating]:[Rating]],Exp_Shift[[Number]:[Number]],0,0),_xlpm.X,_xlfn.XLOOKUP(W68,Exp_Shift[[Rating]:[Rating]],Exp_Shift[[Number]:[Number]],0,0), IF(_xlpm.Fin-_xlpm.Init&gt;0, _xlfn.XLOOKUP(MIN(4,_xlpm.X+_xlpm.Fin-_xlpm.Init),Exp_Shift[[Number]:[Number]],Exp_Shift[[Rating]:[Rating]],0,0),IF(_xlpm.Fin-_xlpm.Init&lt;0,_xlfn.XLOOKUP(MAX(0,_xlpm.X-1),Exp_Shift[[Number]:[Number]],Exp_Shift[[Rating]:[Rating]],0,0),W68)))</f>
        <v>M</v>
      </c>
      <c r="X114" s="19" t="str" cm="1">
        <f t="array" ref="X114">_xlfn.LET(_xlpm.Fin,_xlfn.XLOOKUP(Q114,Exp_Shift[[Rating]:[Rating]],Exp_Shift[[Number]:[Number]],0,0),_xlpm.Init,_xlfn.XLOOKUP(Q68,Exp_Shift[[Rating]:[Rating]],Exp_Shift[[Number]:[Number]],0,0),_xlpm.X,_xlfn.XLOOKUP(X68,Exp_Shift[[Rating]:[Rating]],Exp_Shift[[Number]:[Number]],0,0), IF(_xlpm.Fin-_xlpm.Init&gt;0, _xlfn.XLOOKUP(MIN(4,_xlpm.X+_xlpm.Fin-_xlpm.Init),Exp_Shift[[Number]:[Number]],Exp_Shift[[Rating]:[Rating]],0,0),IF(_xlpm.Fin-_xlpm.Init&lt;0,_xlfn.XLOOKUP(MAX(0,_xlpm.X-1),Exp_Shift[[Number]:[Number]],Exp_Shift[[Rating]:[Rating]],0,0),X68)))</f>
        <v>E</v>
      </c>
      <c r="Y114" s="23" t="str" cm="1">
        <f t="array" ref="Y114">_xlfn.LET(_xlpm.Fin,_xlfn.XLOOKUP(K114,Exp_Shift[[Rating]:[Rating]],Exp_Shift[[Number]:[Number]],0,0),_xlpm.Init,_xlfn.XLOOKUP(K68,Exp_Shift[[Rating]:[Rating]],Exp_Shift[[Number]:[Number]],0,0),_xlpm.X,_xlfn.XLOOKUP(Y68,Exp_Shift[[Rating]:[Rating]],Exp_Shift[[Number]:[Number]],0,0), IF(_xlpm.Fin-_xlpm.Init&gt;0, _xlfn.XLOOKUP(MIN(4,_xlpm.X+1),Exp_Shift[[Number]:[Number]],Exp_Shift[[Rating]:[Rating]],0,0),IF(_xlpm.Fin-_xlpm.Init&lt;0,_xlfn.XLOOKUP(MAX(0,_xlpm.X),Exp_Shift[[Number]:[Number]],Exp_Shift[[Rating]:[Rating]],0,0),Y68)))</f>
        <v>E</v>
      </c>
      <c r="Z114" t="str" cm="1">
        <f t="array" ref="Z114">_xlfn.LET(_xlpm.Fin,_xlfn.XLOOKUP(L114,Exp_Shift[[Rating]:[Rating]],Exp_Shift[[Number]:[Number]],0,0),_xlpm.Init,_xlfn.XLOOKUP(L68,Exp_Shift[[Rating]:[Rating]],Exp_Shift[[Number]:[Number]],0,0),_xlpm.X,_xlfn.XLOOKUP(Z68,Exp_Shift[[Rating]:[Rating]],Exp_Shift[[Number]:[Number]],0,0), IF(_xlpm.Fin-_xlpm.Init&gt;0, _xlfn.XLOOKUP(MIN(4,_xlpm.X+1),Exp_Shift[[Number]:[Number]],Exp_Shift[[Rating]:[Rating]],0,0),IF(_xlpm.Fin-_xlpm.Init&lt;0,_xlfn.XLOOKUP(MAX(0,_xlpm.X),Exp_Shift[[Number]:[Number]],Exp_Shift[[Rating]:[Rating]],0,0),Z68)))</f>
        <v>E</v>
      </c>
      <c r="AA114" t="str" cm="1">
        <f t="array" ref="AA114">_xlfn.LET(_xlpm.Fin,_xlfn.XLOOKUP(M114,Exp_Shift[[Rating]:[Rating]],Exp_Shift[[Number]:[Number]],0,0),_xlpm.Init,_xlfn.XLOOKUP(M68,Exp_Shift[[Rating]:[Rating]],Exp_Shift[[Number]:[Number]],0,0),_xlpm.X,_xlfn.XLOOKUP(AA68,Exp_Shift[[Rating]:[Rating]],Exp_Shift[[Number]:[Number]],0,0), IF(_xlpm.Fin-_xlpm.Init&gt;0, _xlfn.XLOOKUP(MIN(4,_xlpm.X+1),Exp_Shift[[Number]:[Number]],Exp_Shift[[Rating]:[Rating]],0,0),IF(_xlpm.Fin-_xlpm.Init&lt;0,_xlfn.XLOOKUP(MAX(0,_xlpm.X),Exp_Shift[[Number]:[Number]],Exp_Shift[[Rating]:[Rating]],0,0),AA68)))</f>
        <v>E</v>
      </c>
      <c r="AB114" t="str" cm="1">
        <f t="array" ref="AB114">_xlfn.LET(_xlpm.Fin,_xlfn.XLOOKUP(N114,Exp_Shift[[Rating]:[Rating]],Exp_Shift[[Number]:[Number]],0,0),_xlpm.Init,_xlfn.XLOOKUP(N68,Exp_Shift[[Rating]:[Rating]],Exp_Shift[[Number]:[Number]],0,0),_xlpm.X,_xlfn.XLOOKUP(AB68,Exp_Shift[[Rating]:[Rating]],Exp_Shift[[Number]:[Number]],0,0), IF(_xlpm.Fin-_xlpm.Init&gt;0, _xlfn.XLOOKUP(MIN(4,_xlpm.X+1),Exp_Shift[[Number]:[Number]],Exp_Shift[[Rating]:[Rating]],0,0),IF(_xlpm.Fin-_xlpm.Init&lt;0,_xlfn.XLOOKUP(MAX(0,_xlpm.X),Exp_Shift[[Number]:[Number]],Exp_Shift[[Rating]:[Rating]],0,0),AB68)))</f>
        <v>E</v>
      </c>
      <c r="AC114" t="str" cm="1">
        <f t="array" ref="AC114">_xlfn.LET(_xlpm.Fin,_xlfn.XLOOKUP(O114,Exp_Shift[[Rating]:[Rating]],Exp_Shift[[Number]:[Number]],0,0),_xlpm.Init,_xlfn.XLOOKUP(O68,Exp_Shift[[Rating]:[Rating]],Exp_Shift[[Number]:[Number]],0,0),_xlpm.X,_xlfn.XLOOKUP(AC68,Exp_Shift[[Rating]:[Rating]],Exp_Shift[[Number]:[Number]],0,0), IF(_xlpm.Fin-_xlpm.Init&gt;0, _xlfn.XLOOKUP(MIN(4,_xlpm.X+1),Exp_Shift[[Number]:[Number]],Exp_Shift[[Rating]:[Rating]],0,0),IF(_xlpm.Fin-_xlpm.Init&lt;0,_xlfn.XLOOKUP(MAX(0,_xlpm.X),Exp_Shift[[Number]:[Number]],Exp_Shift[[Rating]:[Rating]],0,0),AC68)))</f>
        <v>L</v>
      </c>
      <c r="AD114" t="str" cm="1">
        <f t="array" ref="AD114">_xlfn.LET(_xlpm.Fin,_xlfn.XLOOKUP(P114,Exp_Shift[[Rating]:[Rating]],Exp_Shift[[Number]:[Number]],0,0),_xlpm.Init,_xlfn.XLOOKUP(P68,Exp_Shift[[Rating]:[Rating]],Exp_Shift[[Number]:[Number]],0,0),_xlpm.X,_xlfn.XLOOKUP(AD68,Exp_Shift[[Rating]:[Rating]],Exp_Shift[[Number]:[Number]],0,0), IF(_xlpm.Fin-_xlpm.Init&gt;0, _xlfn.XLOOKUP(MIN(4,_xlpm.X+1),Exp_Shift[[Number]:[Number]],Exp_Shift[[Rating]:[Rating]],0,0),IF(_xlpm.Fin-_xlpm.Init&lt;0,_xlfn.XLOOKUP(MAX(0,_xlpm.X),Exp_Shift[[Number]:[Number]],Exp_Shift[[Rating]:[Rating]],0,0),AD68)))</f>
        <v>L</v>
      </c>
      <c r="AE114" s="27" t="str" cm="1">
        <f t="array" ref="AE114">_xlfn.LET(_xlpm.Fin,_xlfn.XLOOKUP(Q114,Exp_Shift[[Rating]:[Rating]],Exp_Shift[[Number]:[Number]],0,0),_xlpm.Init,_xlfn.XLOOKUP(Q68,Exp_Shift[[Rating]:[Rating]],Exp_Shift[[Number]:[Number]],0,0),_xlpm.X,_xlfn.XLOOKUP(AE68,Exp_Shift[[Rating]:[Rating]],Exp_Shift[[Number]:[Number]],0,0), IF(_xlpm.Fin-_xlpm.Init&gt;0, _xlfn.XLOOKUP(MIN(4,_xlpm.X+1),Exp_Shift[[Number]:[Number]],Exp_Shift[[Rating]:[Rating]],0,0),IF(_xlpm.Fin-_xlpm.Init&lt;0,_xlfn.XLOOKUP(MAX(0,_xlpm.X),Exp_Shift[[Number]:[Number]],Exp_Shift[[Rating]:[Rating]],0,0),AE68)))</f>
        <v>E</v>
      </c>
    </row>
    <row r="115" spans="8:31" ht="18" x14ac:dyDescent="0.35">
      <c r="H115" s="26">
        <v>58</v>
      </c>
      <c r="I115" s="332" t="s">
        <v>120</v>
      </c>
      <c r="J115" s="328" t="s">
        <v>224</v>
      </c>
      <c r="K115" s="23" t="str" cm="1">
        <f t="array" ref="K115">_xlfn.SWITCH(K92,"N/A","L","L","M","M","H","H","E","E","N/A")</f>
        <v>E</v>
      </c>
      <c r="L115" t="str" cm="1">
        <f t="array" ref="L115">_xlfn.SWITCH(L92,"N/A","L","L","M","M","H","H","E","E","N/A")</f>
        <v>N/A</v>
      </c>
      <c r="M115" t="str" cm="1">
        <f t="array" ref="M115">_xlfn.SWITCH(M92,"N/A","L","L","M","M","H","H","E","E","N/A")</f>
        <v>N/A</v>
      </c>
      <c r="N115" t="str" cm="1">
        <f t="array" ref="N115">_xlfn.SWITCH(N92,"N/A","L","L","M","M","H","H","E","E","N/A")</f>
        <v>M</v>
      </c>
      <c r="O115" t="str" cm="1">
        <f t="array" ref="O115">_xlfn.SWITCH(O92,"N/A","L","L","M","M","H","H","E","E","N/A")</f>
        <v>M</v>
      </c>
      <c r="P115" t="str" cm="1">
        <f t="array" ref="P115">_xlfn.SWITCH(P92,"N/A","L","L","M","M","H","H","E","E","N/A")</f>
        <v>M</v>
      </c>
      <c r="Q115" s="19" t="str" cm="1">
        <f t="array" ref="Q115">_xlfn.SWITCH(Q92,"N/A","L","L","M","M","H","H","E","E","N/A")</f>
        <v>H</v>
      </c>
      <c r="R115" s="23" t="str" cm="1">
        <f t="array" ref="R115">_xlfn.LET(_xlpm.Fin,_xlfn.XLOOKUP(K115,Exp_Shift[[Rating]:[Rating]],Exp_Shift[[Number]:[Number]],0,0),_xlpm.Init,_xlfn.XLOOKUP(K69,Exp_Shift[[Rating]:[Rating]],Exp_Shift[[Number]:[Number]],0,0),_xlpm.X,_xlfn.XLOOKUP(R69,Exp_Shift[[Rating]:[Rating]],Exp_Shift[[Number]:[Number]],0,0), IF(_xlpm.Fin-_xlpm.Init&gt;0, _xlfn.XLOOKUP(MIN(4,_xlpm.X+_xlpm.Fin-_xlpm.Init),Exp_Shift[[Number]:[Number]],Exp_Shift[[Rating]:[Rating]],0,0),IF(_xlpm.Fin-_xlpm.Init&lt;0,_xlfn.XLOOKUP(MAX(0,_xlpm.X-1),Exp_Shift[[Number]:[Number]],Exp_Shift[[Rating]:[Rating]],0,0),R69)))</f>
        <v>E</v>
      </c>
      <c r="S115" t="str" cm="1">
        <f t="array" ref="S115">_xlfn.LET(_xlpm.Fin,_xlfn.XLOOKUP(L115,Exp_Shift[[Rating]:[Rating]],Exp_Shift[[Number]:[Number]],0,0),_xlpm.Init,_xlfn.XLOOKUP(L69,Exp_Shift[[Rating]:[Rating]],Exp_Shift[[Number]:[Number]],0,0),_xlpm.X,_xlfn.XLOOKUP(S69,Exp_Shift[[Rating]:[Rating]],Exp_Shift[[Number]:[Number]],0,0), IF(_xlpm.Fin-_xlpm.Init&gt;0, _xlfn.XLOOKUP(MIN(4,_xlpm.X+_xlpm.Fin-_xlpm.Init),Exp_Shift[[Number]:[Number]],Exp_Shift[[Rating]:[Rating]],0,0),IF(_xlpm.Fin-_xlpm.Init&lt;0,_xlfn.XLOOKUP(MAX(0,_xlpm.X-1),Exp_Shift[[Number]:[Number]],Exp_Shift[[Rating]:[Rating]],0,0),S69)))</f>
        <v>M</v>
      </c>
      <c r="T115" t="str" cm="1">
        <f t="array" ref="T115">_xlfn.LET(_xlpm.Fin,_xlfn.XLOOKUP(M115,Exp_Shift[[Rating]:[Rating]],Exp_Shift[[Number]:[Number]],0,0),_xlpm.Init,_xlfn.XLOOKUP(M69,Exp_Shift[[Rating]:[Rating]],Exp_Shift[[Number]:[Number]],0,0),_xlpm.X,_xlfn.XLOOKUP(T69,Exp_Shift[[Rating]:[Rating]],Exp_Shift[[Number]:[Number]],0,0), IF(_xlpm.Fin-_xlpm.Init&gt;0, _xlfn.XLOOKUP(MIN(4,_xlpm.X+_xlpm.Fin-_xlpm.Init),Exp_Shift[[Number]:[Number]],Exp_Shift[[Rating]:[Rating]],0,0),IF(_xlpm.Fin-_xlpm.Init&lt;0,_xlfn.XLOOKUP(MAX(0,_xlpm.X-1),Exp_Shift[[Number]:[Number]],Exp_Shift[[Rating]:[Rating]],0,0),T69)))</f>
        <v>H</v>
      </c>
      <c r="U115" t="str" cm="1">
        <f t="array" ref="U115">_xlfn.LET(_xlpm.Fin,_xlfn.XLOOKUP(N115,Exp_Shift[[Rating]:[Rating]],Exp_Shift[[Number]:[Number]],0,0),_xlpm.Init,_xlfn.XLOOKUP(N69,Exp_Shift[[Rating]:[Rating]],Exp_Shift[[Number]:[Number]],0,0),_xlpm.X,_xlfn.XLOOKUP(U69,Exp_Shift[[Rating]:[Rating]],Exp_Shift[[Number]:[Number]],0,0), IF(_xlpm.Fin-_xlpm.Init&gt;0, _xlfn.XLOOKUP(MIN(4,_xlpm.X+_xlpm.Fin-_xlpm.Init),Exp_Shift[[Number]:[Number]],Exp_Shift[[Rating]:[Rating]],0,0),IF(_xlpm.Fin-_xlpm.Init&lt;0,_xlfn.XLOOKUP(MAX(0,_xlpm.X-1),Exp_Shift[[Number]:[Number]],Exp_Shift[[Rating]:[Rating]],0,0),U69)))</f>
        <v>M</v>
      </c>
      <c r="V115" t="str" cm="1">
        <f t="array" ref="V115">_xlfn.LET(_xlpm.Fin,_xlfn.XLOOKUP(O115,Exp_Shift[[Rating]:[Rating]],Exp_Shift[[Number]:[Number]],0,0),_xlpm.Init,_xlfn.XLOOKUP(O69,Exp_Shift[[Rating]:[Rating]],Exp_Shift[[Number]:[Number]],0,0),_xlpm.X,_xlfn.XLOOKUP(V69,Exp_Shift[[Rating]:[Rating]],Exp_Shift[[Number]:[Number]],0,0), IF(_xlpm.Fin-_xlpm.Init&gt;0, _xlfn.XLOOKUP(MIN(4,_xlpm.X+_xlpm.Fin-_xlpm.Init),Exp_Shift[[Number]:[Number]],Exp_Shift[[Rating]:[Rating]],0,0),IF(_xlpm.Fin-_xlpm.Init&lt;0,_xlfn.XLOOKUP(MAX(0,_xlpm.X-1),Exp_Shift[[Number]:[Number]],Exp_Shift[[Rating]:[Rating]],0,0),V69)))</f>
        <v>M</v>
      </c>
      <c r="W115" t="str" cm="1">
        <f t="array" ref="W115">_xlfn.LET(_xlpm.Fin,_xlfn.XLOOKUP(P115,Exp_Shift[[Rating]:[Rating]],Exp_Shift[[Number]:[Number]],0,0),_xlpm.Init,_xlfn.XLOOKUP(P69,Exp_Shift[[Rating]:[Rating]],Exp_Shift[[Number]:[Number]],0,0),_xlpm.X,_xlfn.XLOOKUP(W69,Exp_Shift[[Rating]:[Rating]],Exp_Shift[[Number]:[Number]],0,0), IF(_xlpm.Fin-_xlpm.Init&gt;0, _xlfn.XLOOKUP(MIN(4,_xlpm.X+_xlpm.Fin-_xlpm.Init),Exp_Shift[[Number]:[Number]],Exp_Shift[[Rating]:[Rating]],0,0),IF(_xlpm.Fin-_xlpm.Init&lt;0,_xlfn.XLOOKUP(MAX(0,_xlpm.X-1),Exp_Shift[[Number]:[Number]],Exp_Shift[[Rating]:[Rating]],0,0),W69)))</f>
        <v>M</v>
      </c>
      <c r="X115" s="19" t="str" cm="1">
        <f t="array" ref="X115">_xlfn.LET(_xlpm.Fin,_xlfn.XLOOKUP(Q115,Exp_Shift[[Rating]:[Rating]],Exp_Shift[[Number]:[Number]],0,0),_xlpm.Init,_xlfn.XLOOKUP(Q69,Exp_Shift[[Rating]:[Rating]],Exp_Shift[[Number]:[Number]],0,0),_xlpm.X,_xlfn.XLOOKUP(X69,Exp_Shift[[Rating]:[Rating]],Exp_Shift[[Number]:[Number]],0,0), IF(_xlpm.Fin-_xlpm.Init&gt;0, _xlfn.XLOOKUP(MIN(4,_xlpm.X+_xlpm.Fin-_xlpm.Init),Exp_Shift[[Number]:[Number]],Exp_Shift[[Rating]:[Rating]],0,0),IF(_xlpm.Fin-_xlpm.Init&lt;0,_xlfn.XLOOKUP(MAX(0,_xlpm.X-1),Exp_Shift[[Number]:[Number]],Exp_Shift[[Rating]:[Rating]],0,0),X69)))</f>
        <v>H</v>
      </c>
      <c r="Y115" s="23" t="str" cm="1">
        <f t="array" ref="Y115">_xlfn.LET(_xlpm.Fin,_xlfn.XLOOKUP(K115,Exp_Shift[[Rating]:[Rating]],Exp_Shift[[Number]:[Number]],0,0),_xlpm.Init,_xlfn.XLOOKUP(K69,Exp_Shift[[Rating]:[Rating]],Exp_Shift[[Number]:[Number]],0,0),_xlpm.X,_xlfn.XLOOKUP(Y69,Exp_Shift[[Rating]:[Rating]],Exp_Shift[[Number]:[Number]],0,0), IF(_xlpm.Fin-_xlpm.Init&gt;0, _xlfn.XLOOKUP(MIN(4,_xlpm.X+1),Exp_Shift[[Number]:[Number]],Exp_Shift[[Rating]:[Rating]],0,0),IF(_xlpm.Fin-_xlpm.Init&lt;0,_xlfn.XLOOKUP(MAX(0,_xlpm.X),Exp_Shift[[Number]:[Number]],Exp_Shift[[Rating]:[Rating]],0,0),Y69)))</f>
        <v>E</v>
      </c>
      <c r="Z115" t="str" cm="1">
        <f t="array" ref="Z115">_xlfn.LET(_xlpm.Fin,_xlfn.XLOOKUP(L115,Exp_Shift[[Rating]:[Rating]],Exp_Shift[[Number]:[Number]],0,0),_xlpm.Init,_xlfn.XLOOKUP(L69,Exp_Shift[[Rating]:[Rating]],Exp_Shift[[Number]:[Number]],0,0),_xlpm.X,_xlfn.XLOOKUP(Z69,Exp_Shift[[Rating]:[Rating]],Exp_Shift[[Number]:[Number]],0,0), IF(_xlpm.Fin-_xlpm.Init&gt;0, _xlfn.XLOOKUP(MIN(4,_xlpm.X+1),Exp_Shift[[Number]:[Number]],Exp_Shift[[Rating]:[Rating]],0,0),IF(_xlpm.Fin-_xlpm.Init&lt;0,_xlfn.XLOOKUP(MAX(0,_xlpm.X),Exp_Shift[[Number]:[Number]],Exp_Shift[[Rating]:[Rating]],0,0),Z69)))</f>
        <v>E</v>
      </c>
      <c r="AA115" t="str" cm="1">
        <f t="array" ref="AA115">_xlfn.LET(_xlpm.Fin,_xlfn.XLOOKUP(M115,Exp_Shift[[Rating]:[Rating]],Exp_Shift[[Number]:[Number]],0,0),_xlpm.Init,_xlfn.XLOOKUP(M69,Exp_Shift[[Rating]:[Rating]],Exp_Shift[[Number]:[Number]],0,0),_xlpm.X,_xlfn.XLOOKUP(AA69,Exp_Shift[[Rating]:[Rating]],Exp_Shift[[Number]:[Number]],0,0), IF(_xlpm.Fin-_xlpm.Init&gt;0, _xlfn.XLOOKUP(MIN(4,_xlpm.X+1),Exp_Shift[[Number]:[Number]],Exp_Shift[[Rating]:[Rating]],0,0),IF(_xlpm.Fin-_xlpm.Init&lt;0,_xlfn.XLOOKUP(MAX(0,_xlpm.X),Exp_Shift[[Number]:[Number]],Exp_Shift[[Rating]:[Rating]],0,0),AA69)))</f>
        <v>E</v>
      </c>
      <c r="AB115" t="str" cm="1">
        <f t="array" ref="AB115">_xlfn.LET(_xlpm.Fin,_xlfn.XLOOKUP(N115,Exp_Shift[[Rating]:[Rating]],Exp_Shift[[Number]:[Number]],0,0),_xlpm.Init,_xlfn.XLOOKUP(N69,Exp_Shift[[Rating]:[Rating]],Exp_Shift[[Number]:[Number]],0,0),_xlpm.X,_xlfn.XLOOKUP(AB69,Exp_Shift[[Rating]:[Rating]],Exp_Shift[[Number]:[Number]],0,0), IF(_xlpm.Fin-_xlpm.Init&gt;0, _xlfn.XLOOKUP(MIN(4,_xlpm.X+1),Exp_Shift[[Number]:[Number]],Exp_Shift[[Rating]:[Rating]],0,0),IF(_xlpm.Fin-_xlpm.Init&lt;0,_xlfn.XLOOKUP(MAX(0,_xlpm.X),Exp_Shift[[Number]:[Number]],Exp_Shift[[Rating]:[Rating]],0,0),AB69)))</f>
        <v>L</v>
      </c>
      <c r="AC115" t="str" cm="1">
        <f t="array" ref="AC115">_xlfn.LET(_xlpm.Fin,_xlfn.XLOOKUP(O115,Exp_Shift[[Rating]:[Rating]],Exp_Shift[[Number]:[Number]],0,0),_xlpm.Init,_xlfn.XLOOKUP(O69,Exp_Shift[[Rating]:[Rating]],Exp_Shift[[Number]:[Number]],0,0),_xlpm.X,_xlfn.XLOOKUP(AC69,Exp_Shift[[Rating]:[Rating]],Exp_Shift[[Number]:[Number]],0,0), IF(_xlpm.Fin-_xlpm.Init&gt;0, _xlfn.XLOOKUP(MIN(4,_xlpm.X+1),Exp_Shift[[Number]:[Number]],Exp_Shift[[Rating]:[Rating]],0,0),IF(_xlpm.Fin-_xlpm.Init&lt;0,_xlfn.XLOOKUP(MAX(0,_xlpm.X),Exp_Shift[[Number]:[Number]],Exp_Shift[[Rating]:[Rating]],0,0),AC69)))</f>
        <v>L</v>
      </c>
      <c r="AD115" t="str" cm="1">
        <f t="array" ref="AD115">_xlfn.LET(_xlpm.Fin,_xlfn.XLOOKUP(P115,Exp_Shift[[Rating]:[Rating]],Exp_Shift[[Number]:[Number]],0,0),_xlpm.Init,_xlfn.XLOOKUP(P69,Exp_Shift[[Rating]:[Rating]],Exp_Shift[[Number]:[Number]],0,0),_xlpm.X,_xlfn.XLOOKUP(AD69,Exp_Shift[[Rating]:[Rating]],Exp_Shift[[Number]:[Number]],0,0), IF(_xlpm.Fin-_xlpm.Init&gt;0, _xlfn.XLOOKUP(MIN(4,_xlpm.X+1),Exp_Shift[[Number]:[Number]],Exp_Shift[[Rating]:[Rating]],0,0),IF(_xlpm.Fin-_xlpm.Init&lt;0,_xlfn.XLOOKUP(MAX(0,_xlpm.X),Exp_Shift[[Number]:[Number]],Exp_Shift[[Rating]:[Rating]],0,0),AD69)))</f>
        <v>L</v>
      </c>
      <c r="AE115" s="27" t="str" cm="1">
        <f t="array" ref="AE115">_xlfn.LET(_xlpm.Fin,_xlfn.XLOOKUP(Q115,Exp_Shift[[Rating]:[Rating]],Exp_Shift[[Number]:[Number]],0,0),_xlpm.Init,_xlfn.XLOOKUP(Q69,Exp_Shift[[Rating]:[Rating]],Exp_Shift[[Number]:[Number]],0,0),_xlpm.X,_xlfn.XLOOKUP(AE69,Exp_Shift[[Rating]:[Rating]],Exp_Shift[[Number]:[Number]],0,0), IF(_xlpm.Fin-_xlpm.Init&gt;0, _xlfn.XLOOKUP(MIN(4,_xlpm.X+1),Exp_Shift[[Number]:[Number]],Exp_Shift[[Rating]:[Rating]],0,0),IF(_xlpm.Fin-_xlpm.Init&lt;0,_xlfn.XLOOKUP(MAX(0,_xlpm.X),Exp_Shift[[Number]:[Number]],Exp_Shift[[Rating]:[Rating]],0,0),AE69)))</f>
        <v>H</v>
      </c>
    </row>
    <row r="116" spans="8:31" ht="18" x14ac:dyDescent="0.35">
      <c r="H116" s="26">
        <v>59</v>
      </c>
      <c r="I116" s="332" t="s">
        <v>120</v>
      </c>
      <c r="J116" s="328" t="s">
        <v>212</v>
      </c>
      <c r="K116" s="23" t="str" cm="1">
        <f t="array" ref="K116">_xlfn.SWITCH(K93,"N/A","L","L","M","M","H","H","E","E","N/A")</f>
        <v>E</v>
      </c>
      <c r="L116" t="str" cm="1">
        <f t="array" ref="L116">_xlfn.SWITCH(L93,"N/A","L","L","M","M","H","H","E","E","N/A")</f>
        <v>E</v>
      </c>
      <c r="M116" t="str" cm="1">
        <f t="array" ref="M116">_xlfn.SWITCH(M93,"N/A","L","L","M","M","H","H","E","E","N/A")</f>
        <v>N/A</v>
      </c>
      <c r="N116" t="str" cm="1">
        <f t="array" ref="N116">_xlfn.SWITCH(N93,"N/A","L","L","M","M","H","H","E","E","N/A")</f>
        <v>E</v>
      </c>
      <c r="O116" t="str" cm="1">
        <f t="array" ref="O116">_xlfn.SWITCH(O93,"N/A","L","L","M","M","H","H","E","E","N/A")</f>
        <v>M</v>
      </c>
      <c r="P116" t="str" cm="1">
        <f t="array" ref="P116">_xlfn.SWITCH(P93,"N/A","L","L","M","M","H","H","E","E","N/A")</f>
        <v>M</v>
      </c>
      <c r="Q116" s="19" t="str" cm="1">
        <f t="array" ref="Q116">_xlfn.SWITCH(Q93,"N/A","L","L","M","M","H","H","E","E","N/A")</f>
        <v>E</v>
      </c>
      <c r="R116" s="23" t="str" cm="1">
        <f t="array" ref="R116">_xlfn.LET(_xlpm.Fin,_xlfn.XLOOKUP(K116,Exp_Shift[[Rating]:[Rating]],Exp_Shift[[Number]:[Number]],0,0),_xlpm.Init,_xlfn.XLOOKUP(K70,Exp_Shift[[Rating]:[Rating]],Exp_Shift[[Number]:[Number]],0,0),_xlpm.X,_xlfn.XLOOKUP(R70,Exp_Shift[[Rating]:[Rating]],Exp_Shift[[Number]:[Number]],0,0), IF(_xlpm.Fin-_xlpm.Init&gt;0, _xlfn.XLOOKUP(MIN(4,_xlpm.X+_xlpm.Fin-_xlpm.Init),Exp_Shift[[Number]:[Number]],Exp_Shift[[Rating]:[Rating]],0,0),IF(_xlpm.Fin-_xlpm.Init&lt;0,_xlfn.XLOOKUP(MAX(0,_xlpm.X-1),Exp_Shift[[Number]:[Number]],Exp_Shift[[Rating]:[Rating]],0,0),R70)))</f>
        <v>E</v>
      </c>
      <c r="S116" t="str" cm="1">
        <f t="array" ref="S116">_xlfn.LET(_xlpm.Fin,_xlfn.XLOOKUP(L116,Exp_Shift[[Rating]:[Rating]],Exp_Shift[[Number]:[Number]],0,0),_xlpm.Init,_xlfn.XLOOKUP(L70,Exp_Shift[[Rating]:[Rating]],Exp_Shift[[Number]:[Number]],0,0),_xlpm.X,_xlfn.XLOOKUP(S70,Exp_Shift[[Rating]:[Rating]],Exp_Shift[[Number]:[Number]],0,0), IF(_xlpm.Fin-_xlpm.Init&gt;0, _xlfn.XLOOKUP(MIN(4,_xlpm.X+_xlpm.Fin-_xlpm.Init),Exp_Shift[[Number]:[Number]],Exp_Shift[[Rating]:[Rating]],0,0),IF(_xlpm.Fin-_xlpm.Init&lt;0,_xlfn.XLOOKUP(MAX(0,_xlpm.X-1),Exp_Shift[[Number]:[Number]],Exp_Shift[[Rating]:[Rating]],0,0),S70)))</f>
        <v>E</v>
      </c>
      <c r="T116" t="str" cm="1">
        <f t="array" ref="T116">_xlfn.LET(_xlpm.Fin,_xlfn.XLOOKUP(M116,Exp_Shift[[Rating]:[Rating]],Exp_Shift[[Number]:[Number]],0,0),_xlpm.Init,_xlfn.XLOOKUP(M70,Exp_Shift[[Rating]:[Rating]],Exp_Shift[[Number]:[Number]],0,0),_xlpm.X,_xlfn.XLOOKUP(T70,Exp_Shift[[Rating]:[Rating]],Exp_Shift[[Number]:[Number]],0,0), IF(_xlpm.Fin-_xlpm.Init&gt;0, _xlfn.XLOOKUP(MIN(4,_xlpm.X+_xlpm.Fin-_xlpm.Init),Exp_Shift[[Number]:[Number]],Exp_Shift[[Rating]:[Rating]],0,0),IF(_xlpm.Fin-_xlpm.Init&lt;0,_xlfn.XLOOKUP(MAX(0,_xlpm.X-1),Exp_Shift[[Number]:[Number]],Exp_Shift[[Rating]:[Rating]],0,0),T70)))</f>
        <v>H</v>
      </c>
      <c r="U116" t="str" cm="1">
        <f t="array" ref="U116">_xlfn.LET(_xlpm.Fin,_xlfn.XLOOKUP(N116,Exp_Shift[[Rating]:[Rating]],Exp_Shift[[Number]:[Number]],0,0),_xlpm.Init,_xlfn.XLOOKUP(N70,Exp_Shift[[Rating]:[Rating]],Exp_Shift[[Number]:[Number]],0,0),_xlpm.X,_xlfn.XLOOKUP(U70,Exp_Shift[[Rating]:[Rating]],Exp_Shift[[Number]:[Number]],0,0), IF(_xlpm.Fin-_xlpm.Init&gt;0, _xlfn.XLOOKUP(MIN(4,_xlpm.X+_xlpm.Fin-_xlpm.Init),Exp_Shift[[Number]:[Number]],Exp_Shift[[Rating]:[Rating]],0,0),IF(_xlpm.Fin-_xlpm.Init&lt;0,_xlfn.XLOOKUP(MAX(0,_xlpm.X-1),Exp_Shift[[Number]:[Number]],Exp_Shift[[Rating]:[Rating]],0,0),U70)))</f>
        <v>E</v>
      </c>
      <c r="V116" t="str" cm="1">
        <f t="array" ref="V116">_xlfn.LET(_xlpm.Fin,_xlfn.XLOOKUP(O116,Exp_Shift[[Rating]:[Rating]],Exp_Shift[[Number]:[Number]],0,0),_xlpm.Init,_xlfn.XLOOKUP(O70,Exp_Shift[[Rating]:[Rating]],Exp_Shift[[Number]:[Number]],0,0),_xlpm.X,_xlfn.XLOOKUP(V70,Exp_Shift[[Rating]:[Rating]],Exp_Shift[[Number]:[Number]],0,0), IF(_xlpm.Fin-_xlpm.Init&gt;0, _xlfn.XLOOKUP(MIN(4,_xlpm.X+_xlpm.Fin-_xlpm.Init),Exp_Shift[[Number]:[Number]],Exp_Shift[[Rating]:[Rating]],0,0),IF(_xlpm.Fin-_xlpm.Init&lt;0,_xlfn.XLOOKUP(MAX(0,_xlpm.X-1),Exp_Shift[[Number]:[Number]],Exp_Shift[[Rating]:[Rating]],0,0),V70)))</f>
        <v>M</v>
      </c>
      <c r="W116" t="str" cm="1">
        <f t="array" ref="W116">_xlfn.LET(_xlpm.Fin,_xlfn.XLOOKUP(P116,Exp_Shift[[Rating]:[Rating]],Exp_Shift[[Number]:[Number]],0,0),_xlpm.Init,_xlfn.XLOOKUP(P70,Exp_Shift[[Rating]:[Rating]],Exp_Shift[[Number]:[Number]],0,0),_xlpm.X,_xlfn.XLOOKUP(W70,Exp_Shift[[Rating]:[Rating]],Exp_Shift[[Number]:[Number]],0,0), IF(_xlpm.Fin-_xlpm.Init&gt;0, _xlfn.XLOOKUP(MIN(4,_xlpm.X+_xlpm.Fin-_xlpm.Init),Exp_Shift[[Number]:[Number]],Exp_Shift[[Rating]:[Rating]],0,0),IF(_xlpm.Fin-_xlpm.Init&lt;0,_xlfn.XLOOKUP(MAX(0,_xlpm.X-1),Exp_Shift[[Number]:[Number]],Exp_Shift[[Rating]:[Rating]],0,0),W70)))</f>
        <v>M</v>
      </c>
      <c r="X116" s="19" t="str" cm="1">
        <f t="array" ref="X116">_xlfn.LET(_xlpm.Fin,_xlfn.XLOOKUP(Q116,Exp_Shift[[Rating]:[Rating]],Exp_Shift[[Number]:[Number]],0,0),_xlpm.Init,_xlfn.XLOOKUP(Q70,Exp_Shift[[Rating]:[Rating]],Exp_Shift[[Number]:[Number]],0,0),_xlpm.X,_xlfn.XLOOKUP(X70,Exp_Shift[[Rating]:[Rating]],Exp_Shift[[Number]:[Number]],0,0), IF(_xlpm.Fin-_xlpm.Init&gt;0, _xlfn.XLOOKUP(MIN(4,_xlpm.X+_xlpm.Fin-_xlpm.Init),Exp_Shift[[Number]:[Number]],Exp_Shift[[Rating]:[Rating]],0,0),IF(_xlpm.Fin-_xlpm.Init&lt;0,_xlfn.XLOOKUP(MAX(0,_xlpm.X-1),Exp_Shift[[Number]:[Number]],Exp_Shift[[Rating]:[Rating]],0,0),X70)))</f>
        <v>E</v>
      </c>
      <c r="Y116" s="23" t="str" cm="1">
        <f t="array" ref="Y116">_xlfn.LET(_xlpm.Fin,_xlfn.XLOOKUP(K116,Exp_Shift[[Rating]:[Rating]],Exp_Shift[[Number]:[Number]],0,0),_xlpm.Init,_xlfn.XLOOKUP(K70,Exp_Shift[[Rating]:[Rating]],Exp_Shift[[Number]:[Number]],0,0),_xlpm.X,_xlfn.XLOOKUP(Y70,Exp_Shift[[Rating]:[Rating]],Exp_Shift[[Number]:[Number]],0,0), IF(_xlpm.Fin-_xlpm.Init&gt;0, _xlfn.XLOOKUP(MIN(4,_xlpm.X+1),Exp_Shift[[Number]:[Number]],Exp_Shift[[Rating]:[Rating]],0,0),IF(_xlpm.Fin-_xlpm.Init&lt;0,_xlfn.XLOOKUP(MAX(0,_xlpm.X),Exp_Shift[[Number]:[Number]],Exp_Shift[[Rating]:[Rating]],0,0),Y70)))</f>
        <v>E</v>
      </c>
      <c r="Z116" t="str" cm="1">
        <f t="array" ref="Z116">_xlfn.LET(_xlpm.Fin,_xlfn.XLOOKUP(L116,Exp_Shift[[Rating]:[Rating]],Exp_Shift[[Number]:[Number]],0,0),_xlpm.Init,_xlfn.XLOOKUP(L70,Exp_Shift[[Rating]:[Rating]],Exp_Shift[[Number]:[Number]],0,0),_xlpm.X,_xlfn.XLOOKUP(Z70,Exp_Shift[[Rating]:[Rating]],Exp_Shift[[Number]:[Number]],0,0), IF(_xlpm.Fin-_xlpm.Init&gt;0, _xlfn.XLOOKUP(MIN(4,_xlpm.X+1),Exp_Shift[[Number]:[Number]],Exp_Shift[[Rating]:[Rating]],0,0),IF(_xlpm.Fin-_xlpm.Init&lt;0,_xlfn.XLOOKUP(MAX(0,_xlpm.X),Exp_Shift[[Number]:[Number]],Exp_Shift[[Rating]:[Rating]],0,0),Z70)))</f>
        <v>E</v>
      </c>
      <c r="AA116" t="str" cm="1">
        <f t="array" ref="AA116">_xlfn.LET(_xlpm.Fin,_xlfn.XLOOKUP(M116,Exp_Shift[[Rating]:[Rating]],Exp_Shift[[Number]:[Number]],0,0),_xlpm.Init,_xlfn.XLOOKUP(M70,Exp_Shift[[Rating]:[Rating]],Exp_Shift[[Number]:[Number]],0,0),_xlpm.X,_xlfn.XLOOKUP(AA70,Exp_Shift[[Rating]:[Rating]],Exp_Shift[[Number]:[Number]],0,0), IF(_xlpm.Fin-_xlpm.Init&gt;0, _xlfn.XLOOKUP(MIN(4,_xlpm.X+1),Exp_Shift[[Number]:[Number]],Exp_Shift[[Rating]:[Rating]],0,0),IF(_xlpm.Fin-_xlpm.Init&lt;0,_xlfn.XLOOKUP(MAX(0,_xlpm.X),Exp_Shift[[Number]:[Number]],Exp_Shift[[Rating]:[Rating]],0,0),AA70)))</f>
        <v>E</v>
      </c>
      <c r="AB116" t="str" cm="1">
        <f t="array" ref="AB116">_xlfn.LET(_xlpm.Fin,_xlfn.XLOOKUP(N116,Exp_Shift[[Rating]:[Rating]],Exp_Shift[[Number]:[Number]],0,0),_xlpm.Init,_xlfn.XLOOKUP(N70,Exp_Shift[[Rating]:[Rating]],Exp_Shift[[Number]:[Number]],0,0),_xlpm.X,_xlfn.XLOOKUP(AB70,Exp_Shift[[Rating]:[Rating]],Exp_Shift[[Number]:[Number]],0,0), IF(_xlpm.Fin-_xlpm.Init&gt;0, _xlfn.XLOOKUP(MIN(4,_xlpm.X+1),Exp_Shift[[Number]:[Number]],Exp_Shift[[Rating]:[Rating]],0,0),IF(_xlpm.Fin-_xlpm.Init&lt;0,_xlfn.XLOOKUP(MAX(0,_xlpm.X),Exp_Shift[[Number]:[Number]],Exp_Shift[[Rating]:[Rating]],0,0),AB70)))</f>
        <v>E</v>
      </c>
      <c r="AC116" t="str" cm="1">
        <f t="array" ref="AC116">_xlfn.LET(_xlpm.Fin,_xlfn.XLOOKUP(O116,Exp_Shift[[Rating]:[Rating]],Exp_Shift[[Number]:[Number]],0,0),_xlpm.Init,_xlfn.XLOOKUP(O70,Exp_Shift[[Rating]:[Rating]],Exp_Shift[[Number]:[Number]],0,0),_xlpm.X,_xlfn.XLOOKUP(AC70,Exp_Shift[[Rating]:[Rating]],Exp_Shift[[Number]:[Number]],0,0), IF(_xlpm.Fin-_xlpm.Init&gt;0, _xlfn.XLOOKUP(MIN(4,_xlpm.X+1),Exp_Shift[[Number]:[Number]],Exp_Shift[[Rating]:[Rating]],0,0),IF(_xlpm.Fin-_xlpm.Init&lt;0,_xlfn.XLOOKUP(MAX(0,_xlpm.X),Exp_Shift[[Number]:[Number]],Exp_Shift[[Rating]:[Rating]],0,0),AC70)))</f>
        <v>L</v>
      </c>
      <c r="AD116" t="str" cm="1">
        <f t="array" ref="AD116">_xlfn.LET(_xlpm.Fin,_xlfn.XLOOKUP(P116,Exp_Shift[[Rating]:[Rating]],Exp_Shift[[Number]:[Number]],0,0),_xlpm.Init,_xlfn.XLOOKUP(P70,Exp_Shift[[Rating]:[Rating]],Exp_Shift[[Number]:[Number]],0,0),_xlpm.X,_xlfn.XLOOKUP(AD70,Exp_Shift[[Rating]:[Rating]],Exp_Shift[[Number]:[Number]],0,0), IF(_xlpm.Fin-_xlpm.Init&gt;0, _xlfn.XLOOKUP(MIN(4,_xlpm.X+1),Exp_Shift[[Number]:[Number]],Exp_Shift[[Rating]:[Rating]],0,0),IF(_xlpm.Fin-_xlpm.Init&lt;0,_xlfn.XLOOKUP(MAX(0,_xlpm.X),Exp_Shift[[Number]:[Number]],Exp_Shift[[Rating]:[Rating]],0,0),AD70)))</f>
        <v>L</v>
      </c>
      <c r="AE116" s="27" t="str" cm="1">
        <f t="array" ref="AE116">_xlfn.LET(_xlpm.Fin,_xlfn.XLOOKUP(Q116,Exp_Shift[[Rating]:[Rating]],Exp_Shift[[Number]:[Number]],0,0),_xlpm.Init,_xlfn.XLOOKUP(Q70,Exp_Shift[[Rating]:[Rating]],Exp_Shift[[Number]:[Number]],0,0),_xlpm.X,_xlfn.XLOOKUP(AE70,Exp_Shift[[Rating]:[Rating]],Exp_Shift[[Number]:[Number]],0,0), IF(_xlpm.Fin-_xlpm.Init&gt;0, _xlfn.XLOOKUP(MIN(4,_xlpm.X+1),Exp_Shift[[Number]:[Number]],Exp_Shift[[Rating]:[Rating]],0,0),IF(_xlpm.Fin-_xlpm.Init&lt;0,_xlfn.XLOOKUP(MAX(0,_xlpm.X),Exp_Shift[[Number]:[Number]],Exp_Shift[[Rating]:[Rating]],0,0),AE70)))</f>
        <v>E</v>
      </c>
    </row>
    <row r="117" spans="8:31" ht="18" x14ac:dyDescent="0.35">
      <c r="H117" s="26">
        <v>60</v>
      </c>
      <c r="I117" s="332" t="s">
        <v>120</v>
      </c>
      <c r="J117" s="328" t="s">
        <v>74</v>
      </c>
      <c r="K117" s="23" t="str" cm="1">
        <f t="array" ref="K117">_xlfn.SWITCH(K94,"N/A","L","L","M","M","H","H","E","E","N/A")</f>
        <v>H</v>
      </c>
      <c r="L117" t="str" cm="1">
        <f t="array" ref="L117">_xlfn.SWITCH(L94,"N/A","L","L","M","M","H","H","E","E","N/A")</f>
        <v>E</v>
      </c>
      <c r="M117" t="str" cm="1">
        <f t="array" ref="M117">_xlfn.SWITCH(M94,"N/A","L","L","M","M","H","H","E","E","N/A")</f>
        <v>E</v>
      </c>
      <c r="N117" t="str" cm="1">
        <f t="array" ref="N117">_xlfn.SWITCH(N94,"N/A","L","L","M","M","H","H","E","E","N/A")</f>
        <v>M</v>
      </c>
      <c r="O117" t="str" cm="1">
        <f t="array" ref="O117">_xlfn.SWITCH(O94,"N/A","L","L","M","M","H","H","E","E","N/A")</f>
        <v>M</v>
      </c>
      <c r="P117" t="str" cm="1">
        <f t="array" ref="P117">_xlfn.SWITCH(P94,"N/A","L","L","M","M","H","H","E","E","N/A")</f>
        <v>M</v>
      </c>
      <c r="Q117" s="19" t="str" cm="1">
        <f t="array" ref="Q117">_xlfn.SWITCH(Q94,"N/A","L","L","M","M","H","H","E","E","N/A")</f>
        <v>E</v>
      </c>
      <c r="R117" s="23" t="str" cm="1">
        <f t="array" ref="R117">_xlfn.LET(_xlpm.Fin,_xlfn.XLOOKUP(K117,Exp_Shift[[Rating]:[Rating]],Exp_Shift[[Number]:[Number]],0,0),_xlpm.Init,_xlfn.XLOOKUP(K71,Exp_Shift[[Rating]:[Rating]],Exp_Shift[[Number]:[Number]],0,0),_xlpm.X,_xlfn.XLOOKUP(R71,Exp_Shift[[Rating]:[Rating]],Exp_Shift[[Number]:[Number]],0,0), IF(_xlpm.Fin-_xlpm.Init&gt;0, _xlfn.XLOOKUP(MIN(4,_xlpm.X+_xlpm.Fin-_xlpm.Init),Exp_Shift[[Number]:[Number]],Exp_Shift[[Rating]:[Rating]],0,0),IF(_xlpm.Fin-_xlpm.Init&lt;0,_xlfn.XLOOKUP(MAX(0,_xlpm.X-1),Exp_Shift[[Number]:[Number]],Exp_Shift[[Rating]:[Rating]],0,0),R71)))</f>
        <v>E</v>
      </c>
      <c r="S117" t="str" cm="1">
        <f t="array" ref="S117">_xlfn.LET(_xlpm.Fin,_xlfn.XLOOKUP(L117,Exp_Shift[[Rating]:[Rating]],Exp_Shift[[Number]:[Number]],0,0),_xlpm.Init,_xlfn.XLOOKUP(L71,Exp_Shift[[Rating]:[Rating]],Exp_Shift[[Number]:[Number]],0,0),_xlpm.X,_xlfn.XLOOKUP(S71,Exp_Shift[[Rating]:[Rating]],Exp_Shift[[Number]:[Number]],0,0), IF(_xlpm.Fin-_xlpm.Init&gt;0, _xlfn.XLOOKUP(MIN(4,_xlpm.X+_xlpm.Fin-_xlpm.Init),Exp_Shift[[Number]:[Number]],Exp_Shift[[Rating]:[Rating]],0,0),IF(_xlpm.Fin-_xlpm.Init&lt;0,_xlfn.XLOOKUP(MAX(0,_xlpm.X-1),Exp_Shift[[Number]:[Number]],Exp_Shift[[Rating]:[Rating]],0,0),S71)))</f>
        <v>E</v>
      </c>
      <c r="T117" t="str" cm="1">
        <f t="array" ref="T117">_xlfn.LET(_xlpm.Fin,_xlfn.XLOOKUP(M117,Exp_Shift[[Rating]:[Rating]],Exp_Shift[[Number]:[Number]],0,0),_xlpm.Init,_xlfn.XLOOKUP(M71,Exp_Shift[[Rating]:[Rating]],Exp_Shift[[Number]:[Number]],0,0),_xlpm.X,_xlfn.XLOOKUP(T71,Exp_Shift[[Rating]:[Rating]],Exp_Shift[[Number]:[Number]],0,0), IF(_xlpm.Fin-_xlpm.Init&gt;0, _xlfn.XLOOKUP(MIN(4,_xlpm.X+_xlpm.Fin-_xlpm.Init),Exp_Shift[[Number]:[Number]],Exp_Shift[[Rating]:[Rating]],0,0),IF(_xlpm.Fin-_xlpm.Init&lt;0,_xlfn.XLOOKUP(MAX(0,_xlpm.X-1),Exp_Shift[[Number]:[Number]],Exp_Shift[[Rating]:[Rating]],0,0),T71)))</f>
        <v>E</v>
      </c>
      <c r="U117" t="str" cm="1">
        <f t="array" ref="U117">_xlfn.LET(_xlpm.Fin,_xlfn.XLOOKUP(N117,Exp_Shift[[Rating]:[Rating]],Exp_Shift[[Number]:[Number]],0,0),_xlpm.Init,_xlfn.XLOOKUP(N71,Exp_Shift[[Rating]:[Rating]],Exp_Shift[[Number]:[Number]],0,0),_xlpm.X,_xlfn.XLOOKUP(U71,Exp_Shift[[Rating]:[Rating]],Exp_Shift[[Number]:[Number]],0,0), IF(_xlpm.Fin-_xlpm.Init&gt;0, _xlfn.XLOOKUP(MIN(4,_xlpm.X+_xlpm.Fin-_xlpm.Init),Exp_Shift[[Number]:[Number]],Exp_Shift[[Rating]:[Rating]],0,0),IF(_xlpm.Fin-_xlpm.Init&lt;0,_xlfn.XLOOKUP(MAX(0,_xlpm.X-1),Exp_Shift[[Number]:[Number]],Exp_Shift[[Rating]:[Rating]],0,0),U71)))</f>
        <v>M</v>
      </c>
      <c r="V117" t="str" cm="1">
        <f t="array" ref="V117">_xlfn.LET(_xlpm.Fin,_xlfn.XLOOKUP(O117,Exp_Shift[[Rating]:[Rating]],Exp_Shift[[Number]:[Number]],0,0),_xlpm.Init,_xlfn.XLOOKUP(O71,Exp_Shift[[Rating]:[Rating]],Exp_Shift[[Number]:[Number]],0,0),_xlpm.X,_xlfn.XLOOKUP(V71,Exp_Shift[[Rating]:[Rating]],Exp_Shift[[Number]:[Number]],0,0), IF(_xlpm.Fin-_xlpm.Init&gt;0, _xlfn.XLOOKUP(MIN(4,_xlpm.X+_xlpm.Fin-_xlpm.Init),Exp_Shift[[Number]:[Number]],Exp_Shift[[Rating]:[Rating]],0,0),IF(_xlpm.Fin-_xlpm.Init&lt;0,_xlfn.XLOOKUP(MAX(0,_xlpm.X-1),Exp_Shift[[Number]:[Number]],Exp_Shift[[Rating]:[Rating]],0,0),V71)))</f>
        <v>M</v>
      </c>
      <c r="W117" t="str" cm="1">
        <f t="array" ref="W117">_xlfn.LET(_xlpm.Fin,_xlfn.XLOOKUP(P117,Exp_Shift[[Rating]:[Rating]],Exp_Shift[[Number]:[Number]],0,0),_xlpm.Init,_xlfn.XLOOKUP(P71,Exp_Shift[[Rating]:[Rating]],Exp_Shift[[Number]:[Number]],0,0),_xlpm.X,_xlfn.XLOOKUP(W71,Exp_Shift[[Rating]:[Rating]],Exp_Shift[[Number]:[Number]],0,0), IF(_xlpm.Fin-_xlpm.Init&gt;0, _xlfn.XLOOKUP(MIN(4,_xlpm.X+_xlpm.Fin-_xlpm.Init),Exp_Shift[[Number]:[Number]],Exp_Shift[[Rating]:[Rating]],0,0),IF(_xlpm.Fin-_xlpm.Init&lt;0,_xlfn.XLOOKUP(MAX(0,_xlpm.X-1),Exp_Shift[[Number]:[Number]],Exp_Shift[[Rating]:[Rating]],0,0),W71)))</f>
        <v>M</v>
      </c>
      <c r="X117" s="19" t="str" cm="1">
        <f t="array" ref="X117">_xlfn.LET(_xlpm.Fin,_xlfn.XLOOKUP(Q117,Exp_Shift[[Rating]:[Rating]],Exp_Shift[[Number]:[Number]],0,0),_xlpm.Init,_xlfn.XLOOKUP(Q71,Exp_Shift[[Rating]:[Rating]],Exp_Shift[[Number]:[Number]],0,0),_xlpm.X,_xlfn.XLOOKUP(X71,Exp_Shift[[Rating]:[Rating]],Exp_Shift[[Number]:[Number]],0,0), IF(_xlpm.Fin-_xlpm.Init&gt;0, _xlfn.XLOOKUP(MIN(4,_xlpm.X+_xlpm.Fin-_xlpm.Init),Exp_Shift[[Number]:[Number]],Exp_Shift[[Rating]:[Rating]],0,0),IF(_xlpm.Fin-_xlpm.Init&lt;0,_xlfn.XLOOKUP(MAX(0,_xlpm.X-1),Exp_Shift[[Number]:[Number]],Exp_Shift[[Rating]:[Rating]],0,0),X71)))</f>
        <v>E</v>
      </c>
      <c r="Y117" s="23" t="str" cm="1">
        <f t="array" ref="Y117">_xlfn.LET(_xlpm.Fin,_xlfn.XLOOKUP(K117,Exp_Shift[[Rating]:[Rating]],Exp_Shift[[Number]:[Number]],0,0),_xlpm.Init,_xlfn.XLOOKUP(K71,Exp_Shift[[Rating]:[Rating]],Exp_Shift[[Number]:[Number]],0,0),_xlpm.X,_xlfn.XLOOKUP(Y71,Exp_Shift[[Rating]:[Rating]],Exp_Shift[[Number]:[Number]],0,0), IF(_xlpm.Fin-_xlpm.Init&gt;0, _xlfn.XLOOKUP(MIN(4,_xlpm.X+1),Exp_Shift[[Number]:[Number]],Exp_Shift[[Rating]:[Rating]],0,0),IF(_xlpm.Fin-_xlpm.Init&lt;0,_xlfn.XLOOKUP(MAX(0,_xlpm.X),Exp_Shift[[Number]:[Number]],Exp_Shift[[Rating]:[Rating]],0,0),Y71)))</f>
        <v>E</v>
      </c>
      <c r="Z117" t="str" cm="1">
        <f t="array" ref="Z117">_xlfn.LET(_xlpm.Fin,_xlfn.XLOOKUP(L117,Exp_Shift[[Rating]:[Rating]],Exp_Shift[[Number]:[Number]],0,0),_xlpm.Init,_xlfn.XLOOKUP(L71,Exp_Shift[[Rating]:[Rating]],Exp_Shift[[Number]:[Number]],0,0),_xlpm.X,_xlfn.XLOOKUP(Z71,Exp_Shift[[Rating]:[Rating]],Exp_Shift[[Number]:[Number]],0,0), IF(_xlpm.Fin-_xlpm.Init&gt;0, _xlfn.XLOOKUP(MIN(4,_xlpm.X+1),Exp_Shift[[Number]:[Number]],Exp_Shift[[Rating]:[Rating]],0,0),IF(_xlpm.Fin-_xlpm.Init&lt;0,_xlfn.XLOOKUP(MAX(0,_xlpm.X),Exp_Shift[[Number]:[Number]],Exp_Shift[[Rating]:[Rating]],0,0),Z71)))</f>
        <v>E</v>
      </c>
      <c r="AA117" t="str" cm="1">
        <f t="array" ref="AA117">_xlfn.LET(_xlpm.Fin,_xlfn.XLOOKUP(M117,Exp_Shift[[Rating]:[Rating]],Exp_Shift[[Number]:[Number]],0,0),_xlpm.Init,_xlfn.XLOOKUP(M71,Exp_Shift[[Rating]:[Rating]],Exp_Shift[[Number]:[Number]],0,0),_xlpm.X,_xlfn.XLOOKUP(AA71,Exp_Shift[[Rating]:[Rating]],Exp_Shift[[Number]:[Number]],0,0), IF(_xlpm.Fin-_xlpm.Init&gt;0, _xlfn.XLOOKUP(MIN(4,_xlpm.X+1),Exp_Shift[[Number]:[Number]],Exp_Shift[[Rating]:[Rating]],0,0),IF(_xlpm.Fin-_xlpm.Init&lt;0,_xlfn.XLOOKUP(MAX(0,_xlpm.X),Exp_Shift[[Number]:[Number]],Exp_Shift[[Rating]:[Rating]],0,0),AA71)))</f>
        <v>E</v>
      </c>
      <c r="AB117" t="str" cm="1">
        <f t="array" ref="AB117">_xlfn.LET(_xlpm.Fin,_xlfn.XLOOKUP(N117,Exp_Shift[[Rating]:[Rating]],Exp_Shift[[Number]:[Number]],0,0),_xlpm.Init,_xlfn.XLOOKUP(N71,Exp_Shift[[Rating]:[Rating]],Exp_Shift[[Number]:[Number]],0,0),_xlpm.X,_xlfn.XLOOKUP(AB71,Exp_Shift[[Rating]:[Rating]],Exp_Shift[[Number]:[Number]],0,0), IF(_xlpm.Fin-_xlpm.Init&gt;0, _xlfn.XLOOKUP(MIN(4,_xlpm.X+1),Exp_Shift[[Number]:[Number]],Exp_Shift[[Rating]:[Rating]],0,0),IF(_xlpm.Fin-_xlpm.Init&lt;0,_xlfn.XLOOKUP(MAX(0,_xlpm.X),Exp_Shift[[Number]:[Number]],Exp_Shift[[Rating]:[Rating]],0,0),AB71)))</f>
        <v>L</v>
      </c>
      <c r="AC117" t="str" cm="1">
        <f t="array" ref="AC117">_xlfn.LET(_xlpm.Fin,_xlfn.XLOOKUP(O117,Exp_Shift[[Rating]:[Rating]],Exp_Shift[[Number]:[Number]],0,0),_xlpm.Init,_xlfn.XLOOKUP(O71,Exp_Shift[[Rating]:[Rating]],Exp_Shift[[Number]:[Number]],0,0),_xlpm.X,_xlfn.XLOOKUP(AC71,Exp_Shift[[Rating]:[Rating]],Exp_Shift[[Number]:[Number]],0,0), IF(_xlpm.Fin-_xlpm.Init&gt;0, _xlfn.XLOOKUP(MIN(4,_xlpm.X+1),Exp_Shift[[Number]:[Number]],Exp_Shift[[Rating]:[Rating]],0,0),IF(_xlpm.Fin-_xlpm.Init&lt;0,_xlfn.XLOOKUP(MAX(0,_xlpm.X),Exp_Shift[[Number]:[Number]],Exp_Shift[[Rating]:[Rating]],0,0),AC71)))</f>
        <v>L</v>
      </c>
      <c r="AD117" t="str" cm="1">
        <f t="array" ref="AD117">_xlfn.LET(_xlpm.Fin,_xlfn.XLOOKUP(P117,Exp_Shift[[Rating]:[Rating]],Exp_Shift[[Number]:[Number]],0,0),_xlpm.Init,_xlfn.XLOOKUP(P71,Exp_Shift[[Rating]:[Rating]],Exp_Shift[[Number]:[Number]],0,0),_xlpm.X,_xlfn.XLOOKUP(AD71,Exp_Shift[[Rating]:[Rating]],Exp_Shift[[Number]:[Number]],0,0), IF(_xlpm.Fin-_xlpm.Init&gt;0, _xlfn.XLOOKUP(MIN(4,_xlpm.X+1),Exp_Shift[[Number]:[Number]],Exp_Shift[[Rating]:[Rating]],0,0),IF(_xlpm.Fin-_xlpm.Init&lt;0,_xlfn.XLOOKUP(MAX(0,_xlpm.X),Exp_Shift[[Number]:[Number]],Exp_Shift[[Rating]:[Rating]],0,0),AD71)))</f>
        <v>L</v>
      </c>
      <c r="AE117" s="27" t="str" cm="1">
        <f t="array" ref="AE117">_xlfn.LET(_xlpm.Fin,_xlfn.XLOOKUP(Q117,Exp_Shift[[Rating]:[Rating]],Exp_Shift[[Number]:[Number]],0,0),_xlpm.Init,_xlfn.XLOOKUP(Q71,Exp_Shift[[Rating]:[Rating]],Exp_Shift[[Number]:[Number]],0,0),_xlpm.X,_xlfn.XLOOKUP(AE71,Exp_Shift[[Rating]:[Rating]],Exp_Shift[[Number]:[Number]],0,0), IF(_xlpm.Fin-_xlpm.Init&gt;0, _xlfn.XLOOKUP(MIN(4,_xlpm.X+1),Exp_Shift[[Number]:[Number]],Exp_Shift[[Rating]:[Rating]],0,0),IF(_xlpm.Fin-_xlpm.Init&lt;0,_xlfn.XLOOKUP(MAX(0,_xlpm.X),Exp_Shift[[Number]:[Number]],Exp_Shift[[Rating]:[Rating]],0,0),AE71)))</f>
        <v>E</v>
      </c>
    </row>
    <row r="118" spans="8:31" ht="18" x14ac:dyDescent="0.35">
      <c r="H118" s="26">
        <v>61</v>
      </c>
      <c r="I118" s="331" t="s">
        <v>46</v>
      </c>
      <c r="J118" s="326" t="s">
        <v>227</v>
      </c>
      <c r="K118" s="21" t="str" cm="1">
        <f t="array" ref="K118">_xlfn.SWITCH(K95,"N/A","L","L","M","M","H","H","E","E","N/A")</f>
        <v>H</v>
      </c>
      <c r="L118" s="50" t="str" cm="1">
        <f t="array" ref="L118">_xlfn.SWITCH(L95,"N/A","L","L","M","M","H","H","E","E","N/A")</f>
        <v>N/A</v>
      </c>
      <c r="M118" s="50" t="str" cm="1">
        <f t="array" ref="M118">_xlfn.SWITCH(M95,"N/A","L","L","M","M","H","H","E","E","N/A")</f>
        <v>N/A</v>
      </c>
      <c r="N118" s="50" t="str" cm="1">
        <f t="array" ref="N118">_xlfn.SWITCH(N95,"N/A","L","L","M","M","H","H","E","E","N/A")</f>
        <v>E</v>
      </c>
      <c r="O118" s="50" t="str" cm="1">
        <f t="array" ref="O118">_xlfn.SWITCH(O95,"N/A","L","L","M","M","H","H","E","E","N/A")</f>
        <v>M</v>
      </c>
      <c r="P118" s="50" t="str" cm="1">
        <f t="array" ref="P118">_xlfn.SWITCH(P95,"N/A","L","L","M","M","H","H","E","E","N/A")</f>
        <v>M</v>
      </c>
      <c r="Q118" s="95" t="str" cm="1">
        <f t="array" ref="Q118">_xlfn.SWITCH(Q95,"N/A","L","L","M","M","H","H","E","E","N/A")</f>
        <v>E</v>
      </c>
      <c r="R118" s="21" t="str" cm="1">
        <f t="array" ref="R118">_xlfn.LET(_xlpm.Fin,_xlfn.XLOOKUP(K118,Exp_Shift[[Rating]:[Rating]],Exp_Shift[[Number]:[Number]],0,0),_xlpm.Init,_xlfn.XLOOKUP(K72,Exp_Shift[[Rating]:[Rating]],Exp_Shift[[Number]:[Number]],0,0),_xlpm.X,_xlfn.XLOOKUP(R72,Exp_Shift[[Rating]:[Rating]],Exp_Shift[[Number]:[Number]],0,0), IF(_xlpm.Fin-_xlpm.Init&gt;0, _xlfn.XLOOKUP(MIN(4,_xlpm.X+_xlpm.Fin-_xlpm.Init),Exp_Shift[[Number]:[Number]],Exp_Shift[[Rating]:[Rating]],0,0),IF(_xlpm.Fin-_xlpm.Init&lt;0,_xlfn.XLOOKUP(MAX(0,_xlpm.X-1),Exp_Shift[[Number]:[Number]],Exp_Shift[[Rating]:[Rating]],0,0),R72)))</f>
        <v>H</v>
      </c>
      <c r="S118" s="50" t="str" cm="1">
        <f t="array" ref="S118">_xlfn.LET(_xlpm.Fin,_xlfn.XLOOKUP(L118,Exp_Shift[[Rating]:[Rating]],Exp_Shift[[Number]:[Number]],0,0),_xlpm.Init,_xlfn.XLOOKUP(L72,Exp_Shift[[Rating]:[Rating]],Exp_Shift[[Number]:[Number]],0,0),_xlpm.X,_xlfn.XLOOKUP(S72,Exp_Shift[[Rating]:[Rating]],Exp_Shift[[Number]:[Number]],0,0), IF(_xlpm.Fin-_xlpm.Init&gt;0, _xlfn.XLOOKUP(MIN(4,_xlpm.X+_xlpm.Fin-_xlpm.Init),Exp_Shift[[Number]:[Number]],Exp_Shift[[Rating]:[Rating]],0,0),IF(_xlpm.Fin-_xlpm.Init&lt;0,_xlfn.XLOOKUP(MAX(0,_xlpm.X-1),Exp_Shift[[Number]:[Number]],Exp_Shift[[Rating]:[Rating]],0,0),S72)))</f>
        <v>M</v>
      </c>
      <c r="T118" s="50" t="str" cm="1">
        <f t="array" ref="T118">_xlfn.LET(_xlpm.Fin,_xlfn.XLOOKUP(M118,Exp_Shift[[Rating]:[Rating]],Exp_Shift[[Number]:[Number]],0,0),_xlpm.Init,_xlfn.XLOOKUP(M72,Exp_Shift[[Rating]:[Rating]],Exp_Shift[[Number]:[Number]],0,0),_xlpm.X,_xlfn.XLOOKUP(T72,Exp_Shift[[Rating]:[Rating]],Exp_Shift[[Number]:[Number]],0,0), IF(_xlpm.Fin-_xlpm.Init&gt;0, _xlfn.XLOOKUP(MIN(4,_xlpm.X+_xlpm.Fin-_xlpm.Init),Exp_Shift[[Number]:[Number]],Exp_Shift[[Rating]:[Rating]],0,0),IF(_xlpm.Fin-_xlpm.Init&lt;0,_xlfn.XLOOKUP(MAX(0,_xlpm.X-1),Exp_Shift[[Number]:[Number]],Exp_Shift[[Rating]:[Rating]],0,0),T72)))</f>
        <v>H</v>
      </c>
      <c r="U118" s="50" t="str" cm="1">
        <f t="array" ref="U118">_xlfn.LET(_xlpm.Fin,_xlfn.XLOOKUP(N118,Exp_Shift[[Rating]:[Rating]],Exp_Shift[[Number]:[Number]],0,0),_xlpm.Init,_xlfn.XLOOKUP(N72,Exp_Shift[[Rating]:[Rating]],Exp_Shift[[Number]:[Number]],0,0),_xlpm.X,_xlfn.XLOOKUP(U72,Exp_Shift[[Rating]:[Rating]],Exp_Shift[[Number]:[Number]],0,0), IF(_xlpm.Fin-_xlpm.Init&gt;0, _xlfn.XLOOKUP(MIN(4,_xlpm.X+_xlpm.Fin-_xlpm.Init),Exp_Shift[[Number]:[Number]],Exp_Shift[[Rating]:[Rating]],0,0),IF(_xlpm.Fin-_xlpm.Init&lt;0,_xlfn.XLOOKUP(MAX(0,_xlpm.X-1),Exp_Shift[[Number]:[Number]],Exp_Shift[[Rating]:[Rating]],0,0),U72)))</f>
        <v>E</v>
      </c>
      <c r="V118" s="50" t="str" cm="1">
        <f t="array" ref="V118">_xlfn.LET(_xlpm.Fin,_xlfn.XLOOKUP(O118,Exp_Shift[[Rating]:[Rating]],Exp_Shift[[Number]:[Number]],0,0),_xlpm.Init,_xlfn.XLOOKUP(O72,Exp_Shift[[Rating]:[Rating]],Exp_Shift[[Number]:[Number]],0,0),_xlpm.X,_xlfn.XLOOKUP(V72,Exp_Shift[[Rating]:[Rating]],Exp_Shift[[Number]:[Number]],0,0), IF(_xlpm.Fin-_xlpm.Init&gt;0, _xlfn.XLOOKUP(MIN(4,_xlpm.X+_xlpm.Fin-_xlpm.Init),Exp_Shift[[Number]:[Number]],Exp_Shift[[Rating]:[Rating]],0,0),IF(_xlpm.Fin-_xlpm.Init&lt;0,_xlfn.XLOOKUP(MAX(0,_xlpm.X-1),Exp_Shift[[Number]:[Number]],Exp_Shift[[Rating]:[Rating]],0,0),V72)))</f>
        <v>M</v>
      </c>
      <c r="W118" s="50" t="str" cm="1">
        <f t="array" ref="W118">_xlfn.LET(_xlpm.Fin,_xlfn.XLOOKUP(P118,Exp_Shift[[Rating]:[Rating]],Exp_Shift[[Number]:[Number]],0,0),_xlpm.Init,_xlfn.XLOOKUP(P72,Exp_Shift[[Rating]:[Rating]],Exp_Shift[[Number]:[Number]],0,0),_xlpm.X,_xlfn.XLOOKUP(W72,Exp_Shift[[Rating]:[Rating]],Exp_Shift[[Number]:[Number]],0,0), IF(_xlpm.Fin-_xlpm.Init&gt;0, _xlfn.XLOOKUP(MIN(4,_xlpm.X+_xlpm.Fin-_xlpm.Init),Exp_Shift[[Number]:[Number]],Exp_Shift[[Rating]:[Rating]],0,0),IF(_xlpm.Fin-_xlpm.Init&lt;0,_xlfn.XLOOKUP(MAX(0,_xlpm.X-1),Exp_Shift[[Number]:[Number]],Exp_Shift[[Rating]:[Rating]],0,0),W72)))</f>
        <v>M</v>
      </c>
      <c r="X118" s="95" t="str" cm="1">
        <f t="array" ref="X118">_xlfn.LET(_xlpm.Fin,_xlfn.XLOOKUP(Q118,Exp_Shift[[Rating]:[Rating]],Exp_Shift[[Number]:[Number]],0,0),_xlpm.Init,_xlfn.XLOOKUP(Q72,Exp_Shift[[Rating]:[Rating]],Exp_Shift[[Number]:[Number]],0,0),_xlpm.X,_xlfn.XLOOKUP(X72,Exp_Shift[[Rating]:[Rating]],Exp_Shift[[Number]:[Number]],0,0), IF(_xlpm.Fin-_xlpm.Init&gt;0, _xlfn.XLOOKUP(MIN(4,_xlpm.X+_xlpm.Fin-_xlpm.Init),Exp_Shift[[Number]:[Number]],Exp_Shift[[Rating]:[Rating]],0,0),IF(_xlpm.Fin-_xlpm.Init&lt;0,_xlfn.XLOOKUP(MAX(0,_xlpm.X-1),Exp_Shift[[Number]:[Number]],Exp_Shift[[Rating]:[Rating]],0,0),X72)))</f>
        <v>E</v>
      </c>
      <c r="Y118" s="21" t="str" cm="1">
        <f t="array" ref="Y118">_xlfn.LET(_xlpm.Fin,_xlfn.XLOOKUP(K118,Exp_Shift[[Rating]:[Rating]],Exp_Shift[[Number]:[Number]],0,0),_xlpm.Init,_xlfn.XLOOKUP(K72,Exp_Shift[[Rating]:[Rating]],Exp_Shift[[Number]:[Number]],0,0),_xlpm.X,_xlfn.XLOOKUP(Y72,Exp_Shift[[Rating]:[Rating]],Exp_Shift[[Number]:[Number]],0,0), IF(_xlpm.Fin-_xlpm.Init&gt;0, _xlfn.XLOOKUP(MIN(4,_xlpm.X+1),Exp_Shift[[Number]:[Number]],Exp_Shift[[Rating]:[Rating]],0,0),IF(_xlpm.Fin-_xlpm.Init&lt;0,_xlfn.XLOOKUP(MAX(0,_xlpm.X),Exp_Shift[[Number]:[Number]],Exp_Shift[[Rating]:[Rating]],0,0),Y72)))</f>
        <v>H</v>
      </c>
      <c r="Z118" s="50" t="str" cm="1">
        <f t="array" ref="Z118">_xlfn.LET(_xlpm.Fin,_xlfn.XLOOKUP(L118,Exp_Shift[[Rating]:[Rating]],Exp_Shift[[Number]:[Number]],0,0),_xlpm.Init,_xlfn.XLOOKUP(L72,Exp_Shift[[Rating]:[Rating]],Exp_Shift[[Number]:[Number]],0,0),_xlpm.X,_xlfn.XLOOKUP(Z72,Exp_Shift[[Rating]:[Rating]],Exp_Shift[[Number]:[Number]],0,0), IF(_xlpm.Fin-_xlpm.Init&gt;0, _xlfn.XLOOKUP(MIN(4,_xlpm.X+1),Exp_Shift[[Number]:[Number]],Exp_Shift[[Rating]:[Rating]],0,0),IF(_xlpm.Fin-_xlpm.Init&lt;0,_xlfn.XLOOKUP(MAX(0,_xlpm.X),Exp_Shift[[Number]:[Number]],Exp_Shift[[Rating]:[Rating]],0,0),Z72)))</f>
        <v>H</v>
      </c>
      <c r="AA118" s="50" t="str" cm="1">
        <f t="array" ref="AA118">_xlfn.LET(_xlpm.Fin,_xlfn.XLOOKUP(M118,Exp_Shift[[Rating]:[Rating]],Exp_Shift[[Number]:[Number]],0,0),_xlpm.Init,_xlfn.XLOOKUP(M72,Exp_Shift[[Rating]:[Rating]],Exp_Shift[[Number]:[Number]],0,0),_xlpm.X,_xlfn.XLOOKUP(AA72,Exp_Shift[[Rating]:[Rating]],Exp_Shift[[Number]:[Number]],0,0), IF(_xlpm.Fin-_xlpm.Init&gt;0, _xlfn.XLOOKUP(MIN(4,_xlpm.X+1),Exp_Shift[[Number]:[Number]],Exp_Shift[[Rating]:[Rating]],0,0),IF(_xlpm.Fin-_xlpm.Init&lt;0,_xlfn.XLOOKUP(MAX(0,_xlpm.X),Exp_Shift[[Number]:[Number]],Exp_Shift[[Rating]:[Rating]],0,0),AA72)))</f>
        <v>E</v>
      </c>
      <c r="AB118" s="50" t="str" cm="1">
        <f t="array" ref="AB118">_xlfn.LET(_xlpm.Fin,_xlfn.XLOOKUP(N118,Exp_Shift[[Rating]:[Rating]],Exp_Shift[[Number]:[Number]],0,0),_xlpm.Init,_xlfn.XLOOKUP(N72,Exp_Shift[[Rating]:[Rating]],Exp_Shift[[Number]:[Number]],0,0),_xlpm.X,_xlfn.XLOOKUP(AB72,Exp_Shift[[Rating]:[Rating]],Exp_Shift[[Number]:[Number]],0,0), IF(_xlpm.Fin-_xlpm.Init&gt;0, _xlfn.XLOOKUP(MIN(4,_xlpm.X+1),Exp_Shift[[Number]:[Number]],Exp_Shift[[Rating]:[Rating]],0,0),IF(_xlpm.Fin-_xlpm.Init&lt;0,_xlfn.XLOOKUP(MAX(0,_xlpm.X),Exp_Shift[[Number]:[Number]],Exp_Shift[[Rating]:[Rating]],0,0),AB72)))</f>
        <v>E</v>
      </c>
      <c r="AC118" s="50" t="str" cm="1">
        <f t="array" ref="AC118">_xlfn.LET(_xlpm.Fin,_xlfn.XLOOKUP(O118,Exp_Shift[[Rating]:[Rating]],Exp_Shift[[Number]:[Number]],0,0),_xlpm.Init,_xlfn.XLOOKUP(O72,Exp_Shift[[Rating]:[Rating]],Exp_Shift[[Number]:[Number]],0,0),_xlpm.X,_xlfn.XLOOKUP(AC72,Exp_Shift[[Rating]:[Rating]],Exp_Shift[[Number]:[Number]],0,0), IF(_xlpm.Fin-_xlpm.Init&gt;0, _xlfn.XLOOKUP(MIN(4,_xlpm.X+1),Exp_Shift[[Number]:[Number]],Exp_Shift[[Rating]:[Rating]],0,0),IF(_xlpm.Fin-_xlpm.Init&lt;0,_xlfn.XLOOKUP(MAX(0,_xlpm.X),Exp_Shift[[Number]:[Number]],Exp_Shift[[Rating]:[Rating]],0,0),AC72)))</f>
        <v>L</v>
      </c>
      <c r="AD118" s="50" t="str" cm="1">
        <f t="array" ref="AD118">_xlfn.LET(_xlpm.Fin,_xlfn.XLOOKUP(P118,Exp_Shift[[Rating]:[Rating]],Exp_Shift[[Number]:[Number]],0,0),_xlpm.Init,_xlfn.XLOOKUP(P72,Exp_Shift[[Rating]:[Rating]],Exp_Shift[[Number]:[Number]],0,0),_xlpm.X,_xlfn.XLOOKUP(AD72,Exp_Shift[[Rating]:[Rating]],Exp_Shift[[Number]:[Number]],0,0), IF(_xlpm.Fin-_xlpm.Init&gt;0, _xlfn.XLOOKUP(MIN(4,_xlpm.X+1),Exp_Shift[[Number]:[Number]],Exp_Shift[[Rating]:[Rating]],0,0),IF(_xlpm.Fin-_xlpm.Init&lt;0,_xlfn.XLOOKUP(MAX(0,_xlpm.X),Exp_Shift[[Number]:[Number]],Exp_Shift[[Rating]:[Rating]],0,0),AD72)))</f>
        <v>L</v>
      </c>
      <c r="AE118" s="342" t="str" cm="1">
        <f t="array" ref="AE118">_xlfn.LET(_xlpm.Fin,_xlfn.XLOOKUP(Q118,Exp_Shift[[Rating]:[Rating]],Exp_Shift[[Number]:[Number]],0,0),_xlpm.Init,_xlfn.XLOOKUP(Q72,Exp_Shift[[Rating]:[Rating]],Exp_Shift[[Number]:[Number]],0,0),_xlpm.X,_xlfn.XLOOKUP(AE72,Exp_Shift[[Rating]:[Rating]],Exp_Shift[[Number]:[Number]],0,0), IF(_xlpm.Fin-_xlpm.Init&gt;0, _xlfn.XLOOKUP(MIN(4,_xlpm.X+1),Exp_Shift[[Number]:[Number]],Exp_Shift[[Rating]:[Rating]],0,0),IF(_xlpm.Fin-_xlpm.Init&lt;0,_xlfn.XLOOKUP(MAX(0,_xlpm.X),Exp_Shift[[Number]:[Number]],Exp_Shift[[Rating]:[Rating]],0,0),AE72)))</f>
        <v>E</v>
      </c>
    </row>
    <row r="119" spans="8:31" ht="18" x14ac:dyDescent="0.35">
      <c r="H119" s="26">
        <v>62</v>
      </c>
      <c r="I119" s="332" t="s">
        <v>46</v>
      </c>
      <c r="J119" s="328" t="s">
        <v>226</v>
      </c>
      <c r="K119" s="23" t="str" cm="1">
        <f t="array" ref="K119">_xlfn.SWITCH(K96,"N/A","L","L","M","M","H","H","E","E","N/A")</f>
        <v>H</v>
      </c>
      <c r="L119" t="str" cm="1">
        <f t="array" ref="L119">_xlfn.SWITCH(L96,"N/A","L","L","M","M","H","H","E","E","N/A")</f>
        <v>N/A</v>
      </c>
      <c r="M119" t="str" cm="1">
        <f t="array" ref="M119">_xlfn.SWITCH(M96,"N/A","L","L","M","M","H","H","E","E","N/A")</f>
        <v>N/A</v>
      </c>
      <c r="N119" t="str" cm="1">
        <f t="array" ref="N119">_xlfn.SWITCH(N96,"N/A","L","L","M","M","H","H","E","E","N/A")</f>
        <v>H</v>
      </c>
      <c r="O119" t="str" cm="1">
        <f t="array" ref="O119">_xlfn.SWITCH(O96,"N/A","L","L","M","M","H","H","E","E","N/A")</f>
        <v>E</v>
      </c>
      <c r="P119" t="str" cm="1">
        <f t="array" ref="P119">_xlfn.SWITCH(P96,"N/A","L","L","M","M","H","H","E","E","N/A")</f>
        <v>E</v>
      </c>
      <c r="Q119" s="19" t="str" cm="1">
        <f t="array" ref="Q119">_xlfn.SWITCH(Q96,"N/A","L","L","M","M","H","H","E","E","N/A")</f>
        <v>E</v>
      </c>
      <c r="R119" s="23" t="str" cm="1">
        <f t="array" ref="R119">_xlfn.LET(_xlpm.Fin,_xlfn.XLOOKUP(K119,Exp_Shift[[Rating]:[Rating]],Exp_Shift[[Number]:[Number]],0,0),_xlpm.Init,_xlfn.XLOOKUP(K73,Exp_Shift[[Rating]:[Rating]],Exp_Shift[[Number]:[Number]],0,0),_xlpm.X,_xlfn.XLOOKUP(R73,Exp_Shift[[Rating]:[Rating]],Exp_Shift[[Number]:[Number]],0,0), IF(_xlpm.Fin-_xlpm.Init&gt;0, _xlfn.XLOOKUP(MIN(4,_xlpm.X+_xlpm.Fin-_xlpm.Init),Exp_Shift[[Number]:[Number]],Exp_Shift[[Rating]:[Rating]],0,0),IF(_xlpm.Fin-_xlpm.Init&lt;0,_xlfn.XLOOKUP(MAX(0,_xlpm.X-1),Exp_Shift[[Number]:[Number]],Exp_Shift[[Rating]:[Rating]],0,0),R73)))</f>
        <v>H</v>
      </c>
      <c r="S119" t="str" cm="1">
        <f t="array" ref="S119">_xlfn.LET(_xlpm.Fin,_xlfn.XLOOKUP(L119,Exp_Shift[[Rating]:[Rating]],Exp_Shift[[Number]:[Number]],0,0),_xlpm.Init,_xlfn.XLOOKUP(L73,Exp_Shift[[Rating]:[Rating]],Exp_Shift[[Number]:[Number]],0,0),_xlpm.X,_xlfn.XLOOKUP(S73,Exp_Shift[[Rating]:[Rating]],Exp_Shift[[Number]:[Number]],0,0), IF(_xlpm.Fin-_xlpm.Init&gt;0, _xlfn.XLOOKUP(MIN(4,_xlpm.X+_xlpm.Fin-_xlpm.Init),Exp_Shift[[Number]:[Number]],Exp_Shift[[Rating]:[Rating]],0,0),IF(_xlpm.Fin-_xlpm.Init&lt;0,_xlfn.XLOOKUP(MAX(0,_xlpm.X-1),Exp_Shift[[Number]:[Number]],Exp_Shift[[Rating]:[Rating]],0,0),S73)))</f>
        <v>M</v>
      </c>
      <c r="T119" t="str" cm="1">
        <f t="array" ref="T119">_xlfn.LET(_xlpm.Fin,_xlfn.XLOOKUP(M119,Exp_Shift[[Rating]:[Rating]],Exp_Shift[[Number]:[Number]],0,0),_xlpm.Init,_xlfn.XLOOKUP(M73,Exp_Shift[[Rating]:[Rating]],Exp_Shift[[Number]:[Number]],0,0),_xlpm.X,_xlfn.XLOOKUP(T73,Exp_Shift[[Rating]:[Rating]],Exp_Shift[[Number]:[Number]],0,0), IF(_xlpm.Fin-_xlpm.Init&gt;0, _xlfn.XLOOKUP(MIN(4,_xlpm.X+_xlpm.Fin-_xlpm.Init),Exp_Shift[[Number]:[Number]],Exp_Shift[[Rating]:[Rating]],0,0),IF(_xlpm.Fin-_xlpm.Init&lt;0,_xlfn.XLOOKUP(MAX(0,_xlpm.X-1),Exp_Shift[[Number]:[Number]],Exp_Shift[[Rating]:[Rating]],0,0),T73)))</f>
        <v>H</v>
      </c>
      <c r="U119" t="str" cm="1">
        <f t="array" ref="U119">_xlfn.LET(_xlpm.Fin,_xlfn.XLOOKUP(N119,Exp_Shift[[Rating]:[Rating]],Exp_Shift[[Number]:[Number]],0,0),_xlpm.Init,_xlfn.XLOOKUP(N73,Exp_Shift[[Rating]:[Rating]],Exp_Shift[[Number]:[Number]],0,0),_xlpm.X,_xlfn.XLOOKUP(U73,Exp_Shift[[Rating]:[Rating]],Exp_Shift[[Number]:[Number]],0,0), IF(_xlpm.Fin-_xlpm.Init&gt;0, _xlfn.XLOOKUP(MIN(4,_xlpm.X+_xlpm.Fin-_xlpm.Init),Exp_Shift[[Number]:[Number]],Exp_Shift[[Rating]:[Rating]],0,0),IF(_xlpm.Fin-_xlpm.Init&lt;0,_xlfn.XLOOKUP(MAX(0,_xlpm.X-1),Exp_Shift[[Number]:[Number]],Exp_Shift[[Rating]:[Rating]],0,0),U73)))</f>
        <v>H</v>
      </c>
      <c r="V119" t="str" cm="1">
        <f t="array" ref="V119">_xlfn.LET(_xlpm.Fin,_xlfn.XLOOKUP(O119,Exp_Shift[[Rating]:[Rating]],Exp_Shift[[Number]:[Number]],0,0),_xlpm.Init,_xlfn.XLOOKUP(O73,Exp_Shift[[Rating]:[Rating]],Exp_Shift[[Number]:[Number]],0,0),_xlpm.X,_xlfn.XLOOKUP(V73,Exp_Shift[[Rating]:[Rating]],Exp_Shift[[Number]:[Number]],0,0), IF(_xlpm.Fin-_xlpm.Init&gt;0, _xlfn.XLOOKUP(MIN(4,_xlpm.X+_xlpm.Fin-_xlpm.Init),Exp_Shift[[Number]:[Number]],Exp_Shift[[Rating]:[Rating]],0,0),IF(_xlpm.Fin-_xlpm.Init&lt;0,_xlfn.XLOOKUP(MAX(0,_xlpm.X-1),Exp_Shift[[Number]:[Number]],Exp_Shift[[Rating]:[Rating]],0,0),V73)))</f>
        <v>E</v>
      </c>
      <c r="W119" t="str" cm="1">
        <f t="array" ref="W119">_xlfn.LET(_xlpm.Fin,_xlfn.XLOOKUP(P119,Exp_Shift[[Rating]:[Rating]],Exp_Shift[[Number]:[Number]],0,0),_xlpm.Init,_xlfn.XLOOKUP(P73,Exp_Shift[[Rating]:[Rating]],Exp_Shift[[Number]:[Number]],0,0),_xlpm.X,_xlfn.XLOOKUP(W73,Exp_Shift[[Rating]:[Rating]],Exp_Shift[[Number]:[Number]],0,0), IF(_xlpm.Fin-_xlpm.Init&gt;0, _xlfn.XLOOKUP(MIN(4,_xlpm.X+_xlpm.Fin-_xlpm.Init),Exp_Shift[[Number]:[Number]],Exp_Shift[[Rating]:[Rating]],0,0),IF(_xlpm.Fin-_xlpm.Init&lt;0,_xlfn.XLOOKUP(MAX(0,_xlpm.X-1),Exp_Shift[[Number]:[Number]],Exp_Shift[[Rating]:[Rating]],0,0),W73)))</f>
        <v>E</v>
      </c>
      <c r="X119" s="19" t="str" cm="1">
        <f t="array" ref="X119">_xlfn.LET(_xlpm.Fin,_xlfn.XLOOKUP(Q119,Exp_Shift[[Rating]:[Rating]],Exp_Shift[[Number]:[Number]],0,0),_xlpm.Init,_xlfn.XLOOKUP(Q73,Exp_Shift[[Rating]:[Rating]],Exp_Shift[[Number]:[Number]],0,0),_xlpm.X,_xlfn.XLOOKUP(X73,Exp_Shift[[Rating]:[Rating]],Exp_Shift[[Number]:[Number]],0,0), IF(_xlpm.Fin-_xlpm.Init&gt;0, _xlfn.XLOOKUP(MIN(4,_xlpm.X+_xlpm.Fin-_xlpm.Init),Exp_Shift[[Number]:[Number]],Exp_Shift[[Rating]:[Rating]],0,0),IF(_xlpm.Fin-_xlpm.Init&lt;0,_xlfn.XLOOKUP(MAX(0,_xlpm.X-1),Exp_Shift[[Number]:[Number]],Exp_Shift[[Rating]:[Rating]],0,0),X73)))</f>
        <v>E</v>
      </c>
      <c r="Y119" s="23" t="str" cm="1">
        <f t="array" ref="Y119">_xlfn.LET(_xlpm.Fin,_xlfn.XLOOKUP(K119,Exp_Shift[[Rating]:[Rating]],Exp_Shift[[Number]:[Number]],0,0),_xlpm.Init,_xlfn.XLOOKUP(K73,Exp_Shift[[Rating]:[Rating]],Exp_Shift[[Number]:[Number]],0,0),_xlpm.X,_xlfn.XLOOKUP(Y73,Exp_Shift[[Rating]:[Rating]],Exp_Shift[[Number]:[Number]],0,0), IF(_xlpm.Fin-_xlpm.Init&gt;0, _xlfn.XLOOKUP(MIN(4,_xlpm.X+1),Exp_Shift[[Number]:[Number]],Exp_Shift[[Rating]:[Rating]],0,0),IF(_xlpm.Fin-_xlpm.Init&lt;0,_xlfn.XLOOKUP(MAX(0,_xlpm.X),Exp_Shift[[Number]:[Number]],Exp_Shift[[Rating]:[Rating]],0,0),Y73)))</f>
        <v>H</v>
      </c>
      <c r="Z119" t="str" cm="1">
        <f t="array" ref="Z119">_xlfn.LET(_xlpm.Fin,_xlfn.XLOOKUP(L119,Exp_Shift[[Rating]:[Rating]],Exp_Shift[[Number]:[Number]],0,0),_xlpm.Init,_xlfn.XLOOKUP(L73,Exp_Shift[[Rating]:[Rating]],Exp_Shift[[Number]:[Number]],0,0),_xlpm.X,_xlfn.XLOOKUP(Z73,Exp_Shift[[Rating]:[Rating]],Exp_Shift[[Number]:[Number]],0,0), IF(_xlpm.Fin-_xlpm.Init&gt;0, _xlfn.XLOOKUP(MIN(4,_xlpm.X+1),Exp_Shift[[Number]:[Number]],Exp_Shift[[Rating]:[Rating]],0,0),IF(_xlpm.Fin-_xlpm.Init&lt;0,_xlfn.XLOOKUP(MAX(0,_xlpm.X),Exp_Shift[[Number]:[Number]],Exp_Shift[[Rating]:[Rating]],0,0),Z73)))</f>
        <v>H</v>
      </c>
      <c r="AA119" t="str" cm="1">
        <f t="array" ref="AA119">_xlfn.LET(_xlpm.Fin,_xlfn.XLOOKUP(M119,Exp_Shift[[Rating]:[Rating]],Exp_Shift[[Number]:[Number]],0,0),_xlpm.Init,_xlfn.XLOOKUP(M73,Exp_Shift[[Rating]:[Rating]],Exp_Shift[[Number]:[Number]],0,0),_xlpm.X,_xlfn.XLOOKUP(AA73,Exp_Shift[[Rating]:[Rating]],Exp_Shift[[Number]:[Number]],0,0), IF(_xlpm.Fin-_xlpm.Init&gt;0, _xlfn.XLOOKUP(MIN(4,_xlpm.X+1),Exp_Shift[[Number]:[Number]],Exp_Shift[[Rating]:[Rating]],0,0),IF(_xlpm.Fin-_xlpm.Init&lt;0,_xlfn.XLOOKUP(MAX(0,_xlpm.X),Exp_Shift[[Number]:[Number]],Exp_Shift[[Rating]:[Rating]],0,0),AA73)))</f>
        <v>E</v>
      </c>
      <c r="AB119" t="str" cm="1">
        <f t="array" ref="AB119">_xlfn.LET(_xlpm.Fin,_xlfn.XLOOKUP(N119,Exp_Shift[[Rating]:[Rating]],Exp_Shift[[Number]:[Number]],0,0),_xlpm.Init,_xlfn.XLOOKUP(N73,Exp_Shift[[Rating]:[Rating]],Exp_Shift[[Number]:[Number]],0,0),_xlpm.X,_xlfn.XLOOKUP(AB73,Exp_Shift[[Rating]:[Rating]],Exp_Shift[[Number]:[Number]],0,0), IF(_xlpm.Fin-_xlpm.Init&gt;0, _xlfn.XLOOKUP(MIN(4,_xlpm.X+1),Exp_Shift[[Number]:[Number]],Exp_Shift[[Rating]:[Rating]],0,0),IF(_xlpm.Fin-_xlpm.Init&lt;0,_xlfn.XLOOKUP(MAX(0,_xlpm.X),Exp_Shift[[Number]:[Number]],Exp_Shift[[Rating]:[Rating]],0,0),AB73)))</f>
        <v>M</v>
      </c>
      <c r="AC119" t="str" cm="1">
        <f t="array" ref="AC119">_xlfn.LET(_xlpm.Fin,_xlfn.XLOOKUP(O119,Exp_Shift[[Rating]:[Rating]],Exp_Shift[[Number]:[Number]],0,0),_xlpm.Init,_xlfn.XLOOKUP(O73,Exp_Shift[[Rating]:[Rating]],Exp_Shift[[Number]:[Number]],0,0),_xlpm.X,_xlfn.XLOOKUP(AC73,Exp_Shift[[Rating]:[Rating]],Exp_Shift[[Number]:[Number]],0,0), IF(_xlpm.Fin-_xlpm.Init&gt;0, _xlfn.XLOOKUP(MIN(4,_xlpm.X+1),Exp_Shift[[Number]:[Number]],Exp_Shift[[Rating]:[Rating]],0,0),IF(_xlpm.Fin-_xlpm.Init&lt;0,_xlfn.XLOOKUP(MAX(0,_xlpm.X),Exp_Shift[[Number]:[Number]],Exp_Shift[[Rating]:[Rating]],0,0),AC73)))</f>
        <v>E</v>
      </c>
      <c r="AD119" t="str" cm="1">
        <f t="array" ref="AD119">_xlfn.LET(_xlpm.Fin,_xlfn.XLOOKUP(P119,Exp_Shift[[Rating]:[Rating]],Exp_Shift[[Number]:[Number]],0,0),_xlpm.Init,_xlfn.XLOOKUP(P73,Exp_Shift[[Rating]:[Rating]],Exp_Shift[[Number]:[Number]],0,0),_xlpm.X,_xlfn.XLOOKUP(AD73,Exp_Shift[[Rating]:[Rating]],Exp_Shift[[Number]:[Number]],0,0), IF(_xlpm.Fin-_xlpm.Init&gt;0, _xlfn.XLOOKUP(MIN(4,_xlpm.X+1),Exp_Shift[[Number]:[Number]],Exp_Shift[[Rating]:[Rating]],0,0),IF(_xlpm.Fin-_xlpm.Init&lt;0,_xlfn.XLOOKUP(MAX(0,_xlpm.X),Exp_Shift[[Number]:[Number]],Exp_Shift[[Rating]:[Rating]],0,0),AD73)))</f>
        <v>E</v>
      </c>
      <c r="AE119" s="27" t="str" cm="1">
        <f t="array" ref="AE119">_xlfn.LET(_xlpm.Fin,_xlfn.XLOOKUP(Q119,Exp_Shift[[Rating]:[Rating]],Exp_Shift[[Number]:[Number]],0,0),_xlpm.Init,_xlfn.XLOOKUP(Q73,Exp_Shift[[Rating]:[Rating]],Exp_Shift[[Number]:[Number]],0,0),_xlpm.X,_xlfn.XLOOKUP(AE73,Exp_Shift[[Rating]:[Rating]],Exp_Shift[[Number]:[Number]],0,0), IF(_xlpm.Fin-_xlpm.Init&gt;0, _xlfn.XLOOKUP(MIN(4,_xlpm.X+1),Exp_Shift[[Number]:[Number]],Exp_Shift[[Rating]:[Rating]],0,0),IF(_xlpm.Fin-_xlpm.Init&lt;0,_xlfn.XLOOKUP(MAX(0,_xlpm.X),Exp_Shift[[Number]:[Number]],Exp_Shift[[Rating]:[Rating]],0,0),AE73)))</f>
        <v>E</v>
      </c>
    </row>
    <row r="120" spans="8:31" ht="18" x14ac:dyDescent="0.35">
      <c r="H120" s="26">
        <v>63</v>
      </c>
      <c r="I120" s="332" t="s">
        <v>46</v>
      </c>
      <c r="J120" s="328" t="s">
        <v>225</v>
      </c>
      <c r="K120" s="23" t="str" cm="1">
        <f t="array" ref="K120">_xlfn.SWITCH(K97,"N/A","L","L","M","M","H","H","E","E","N/A")</f>
        <v>H</v>
      </c>
      <c r="L120" t="str" cm="1">
        <f t="array" ref="L120">_xlfn.SWITCH(L97,"N/A","L","L","M","M","H","H","E","E","N/A")</f>
        <v>N/A</v>
      </c>
      <c r="M120" t="str" cm="1">
        <f t="array" ref="M120">_xlfn.SWITCH(M97,"N/A","L","L","M","M","H","H","E","E","N/A")</f>
        <v>N/A</v>
      </c>
      <c r="N120" t="str" cm="1">
        <f t="array" ref="N120">_xlfn.SWITCH(N97,"N/A","L","L","M","M","H","H","E","E","N/A")</f>
        <v>E</v>
      </c>
      <c r="O120" t="str" cm="1">
        <f t="array" ref="O120">_xlfn.SWITCH(O97,"N/A","L","L","M","M","H","H","E","E","N/A")</f>
        <v>M</v>
      </c>
      <c r="P120" t="str" cm="1">
        <f t="array" ref="P120">_xlfn.SWITCH(P97,"N/A","L","L","M","M","H","H","E","E","N/A")</f>
        <v>M</v>
      </c>
      <c r="Q120" s="19" t="str" cm="1">
        <f t="array" ref="Q120">_xlfn.SWITCH(Q97,"N/A","L","L","M","M","H","H","E","E","N/A")</f>
        <v>E</v>
      </c>
      <c r="R120" s="23" t="str" cm="1">
        <f t="array" ref="R120">_xlfn.LET(_xlpm.Fin,_xlfn.XLOOKUP(K120,Exp_Shift[[Rating]:[Rating]],Exp_Shift[[Number]:[Number]],0,0),_xlpm.Init,_xlfn.XLOOKUP(K74,Exp_Shift[[Rating]:[Rating]],Exp_Shift[[Number]:[Number]],0,0),_xlpm.X,_xlfn.XLOOKUP(R74,Exp_Shift[[Rating]:[Rating]],Exp_Shift[[Number]:[Number]],0,0), IF(_xlpm.Fin-_xlpm.Init&gt;0, _xlfn.XLOOKUP(MIN(4,_xlpm.X+_xlpm.Fin-_xlpm.Init),Exp_Shift[[Number]:[Number]],Exp_Shift[[Rating]:[Rating]],0,0),IF(_xlpm.Fin-_xlpm.Init&lt;0,_xlfn.XLOOKUP(MAX(0,_xlpm.X-1),Exp_Shift[[Number]:[Number]],Exp_Shift[[Rating]:[Rating]],0,0),R74)))</f>
        <v>H</v>
      </c>
      <c r="S120" t="str" cm="1">
        <f t="array" ref="S120">_xlfn.LET(_xlpm.Fin,_xlfn.XLOOKUP(L120,Exp_Shift[[Rating]:[Rating]],Exp_Shift[[Number]:[Number]],0,0),_xlpm.Init,_xlfn.XLOOKUP(L74,Exp_Shift[[Rating]:[Rating]],Exp_Shift[[Number]:[Number]],0,0),_xlpm.X,_xlfn.XLOOKUP(S74,Exp_Shift[[Rating]:[Rating]],Exp_Shift[[Number]:[Number]],0,0), IF(_xlpm.Fin-_xlpm.Init&gt;0, _xlfn.XLOOKUP(MIN(4,_xlpm.X+_xlpm.Fin-_xlpm.Init),Exp_Shift[[Number]:[Number]],Exp_Shift[[Rating]:[Rating]],0,0),IF(_xlpm.Fin-_xlpm.Init&lt;0,_xlfn.XLOOKUP(MAX(0,_xlpm.X-1),Exp_Shift[[Number]:[Number]],Exp_Shift[[Rating]:[Rating]],0,0),S74)))</f>
        <v>M</v>
      </c>
      <c r="T120" t="str" cm="1">
        <f t="array" ref="T120">_xlfn.LET(_xlpm.Fin,_xlfn.XLOOKUP(M120,Exp_Shift[[Rating]:[Rating]],Exp_Shift[[Number]:[Number]],0,0),_xlpm.Init,_xlfn.XLOOKUP(M74,Exp_Shift[[Rating]:[Rating]],Exp_Shift[[Number]:[Number]],0,0),_xlpm.X,_xlfn.XLOOKUP(T74,Exp_Shift[[Rating]:[Rating]],Exp_Shift[[Number]:[Number]],0,0), IF(_xlpm.Fin-_xlpm.Init&gt;0, _xlfn.XLOOKUP(MIN(4,_xlpm.X+_xlpm.Fin-_xlpm.Init),Exp_Shift[[Number]:[Number]],Exp_Shift[[Rating]:[Rating]],0,0),IF(_xlpm.Fin-_xlpm.Init&lt;0,_xlfn.XLOOKUP(MAX(0,_xlpm.X-1),Exp_Shift[[Number]:[Number]],Exp_Shift[[Rating]:[Rating]],0,0),T74)))</f>
        <v>H</v>
      </c>
      <c r="U120" t="str" cm="1">
        <f t="array" ref="U120">_xlfn.LET(_xlpm.Fin,_xlfn.XLOOKUP(N120,Exp_Shift[[Rating]:[Rating]],Exp_Shift[[Number]:[Number]],0,0),_xlpm.Init,_xlfn.XLOOKUP(N74,Exp_Shift[[Rating]:[Rating]],Exp_Shift[[Number]:[Number]],0,0),_xlpm.X,_xlfn.XLOOKUP(U74,Exp_Shift[[Rating]:[Rating]],Exp_Shift[[Number]:[Number]],0,0), IF(_xlpm.Fin-_xlpm.Init&gt;0, _xlfn.XLOOKUP(MIN(4,_xlpm.X+_xlpm.Fin-_xlpm.Init),Exp_Shift[[Number]:[Number]],Exp_Shift[[Rating]:[Rating]],0,0),IF(_xlpm.Fin-_xlpm.Init&lt;0,_xlfn.XLOOKUP(MAX(0,_xlpm.X-1),Exp_Shift[[Number]:[Number]],Exp_Shift[[Rating]:[Rating]],0,0),U74)))</f>
        <v>E</v>
      </c>
      <c r="V120" t="str" cm="1">
        <f t="array" ref="V120">_xlfn.LET(_xlpm.Fin,_xlfn.XLOOKUP(O120,Exp_Shift[[Rating]:[Rating]],Exp_Shift[[Number]:[Number]],0,0),_xlpm.Init,_xlfn.XLOOKUP(O74,Exp_Shift[[Rating]:[Rating]],Exp_Shift[[Number]:[Number]],0,0),_xlpm.X,_xlfn.XLOOKUP(V74,Exp_Shift[[Rating]:[Rating]],Exp_Shift[[Number]:[Number]],0,0), IF(_xlpm.Fin-_xlpm.Init&gt;0, _xlfn.XLOOKUP(MIN(4,_xlpm.X+_xlpm.Fin-_xlpm.Init),Exp_Shift[[Number]:[Number]],Exp_Shift[[Rating]:[Rating]],0,0),IF(_xlpm.Fin-_xlpm.Init&lt;0,_xlfn.XLOOKUP(MAX(0,_xlpm.X-1),Exp_Shift[[Number]:[Number]],Exp_Shift[[Rating]:[Rating]],0,0),V74)))</f>
        <v>M</v>
      </c>
      <c r="W120" t="str" cm="1">
        <f t="array" ref="W120">_xlfn.LET(_xlpm.Fin,_xlfn.XLOOKUP(P120,Exp_Shift[[Rating]:[Rating]],Exp_Shift[[Number]:[Number]],0,0),_xlpm.Init,_xlfn.XLOOKUP(P74,Exp_Shift[[Rating]:[Rating]],Exp_Shift[[Number]:[Number]],0,0),_xlpm.X,_xlfn.XLOOKUP(W74,Exp_Shift[[Rating]:[Rating]],Exp_Shift[[Number]:[Number]],0,0), IF(_xlpm.Fin-_xlpm.Init&gt;0, _xlfn.XLOOKUP(MIN(4,_xlpm.X+_xlpm.Fin-_xlpm.Init),Exp_Shift[[Number]:[Number]],Exp_Shift[[Rating]:[Rating]],0,0),IF(_xlpm.Fin-_xlpm.Init&lt;0,_xlfn.XLOOKUP(MAX(0,_xlpm.X-1),Exp_Shift[[Number]:[Number]],Exp_Shift[[Rating]:[Rating]],0,0),W74)))</f>
        <v>M</v>
      </c>
      <c r="X120" s="19" t="str" cm="1">
        <f t="array" ref="X120">_xlfn.LET(_xlpm.Fin,_xlfn.XLOOKUP(Q120,Exp_Shift[[Rating]:[Rating]],Exp_Shift[[Number]:[Number]],0,0),_xlpm.Init,_xlfn.XLOOKUP(Q74,Exp_Shift[[Rating]:[Rating]],Exp_Shift[[Number]:[Number]],0,0),_xlpm.X,_xlfn.XLOOKUP(X74,Exp_Shift[[Rating]:[Rating]],Exp_Shift[[Number]:[Number]],0,0), IF(_xlpm.Fin-_xlpm.Init&gt;0, _xlfn.XLOOKUP(MIN(4,_xlpm.X+_xlpm.Fin-_xlpm.Init),Exp_Shift[[Number]:[Number]],Exp_Shift[[Rating]:[Rating]],0,0),IF(_xlpm.Fin-_xlpm.Init&lt;0,_xlfn.XLOOKUP(MAX(0,_xlpm.X-1),Exp_Shift[[Number]:[Number]],Exp_Shift[[Rating]:[Rating]],0,0),X74)))</f>
        <v>E</v>
      </c>
      <c r="Y120" s="23" t="str" cm="1">
        <f t="array" ref="Y120">_xlfn.LET(_xlpm.Fin,_xlfn.XLOOKUP(K120,Exp_Shift[[Rating]:[Rating]],Exp_Shift[[Number]:[Number]],0,0),_xlpm.Init,_xlfn.XLOOKUP(K74,Exp_Shift[[Rating]:[Rating]],Exp_Shift[[Number]:[Number]],0,0),_xlpm.X,_xlfn.XLOOKUP(Y74,Exp_Shift[[Rating]:[Rating]],Exp_Shift[[Number]:[Number]],0,0), IF(_xlpm.Fin-_xlpm.Init&gt;0, _xlfn.XLOOKUP(MIN(4,_xlpm.X+1),Exp_Shift[[Number]:[Number]],Exp_Shift[[Rating]:[Rating]],0,0),IF(_xlpm.Fin-_xlpm.Init&lt;0,_xlfn.XLOOKUP(MAX(0,_xlpm.X),Exp_Shift[[Number]:[Number]],Exp_Shift[[Rating]:[Rating]],0,0),Y74)))</f>
        <v>E</v>
      </c>
      <c r="Z120" t="str" cm="1">
        <f t="array" ref="Z120">_xlfn.LET(_xlpm.Fin,_xlfn.XLOOKUP(L120,Exp_Shift[[Rating]:[Rating]],Exp_Shift[[Number]:[Number]],0,0),_xlpm.Init,_xlfn.XLOOKUP(L74,Exp_Shift[[Rating]:[Rating]],Exp_Shift[[Number]:[Number]],0,0),_xlpm.X,_xlfn.XLOOKUP(Z74,Exp_Shift[[Rating]:[Rating]],Exp_Shift[[Number]:[Number]],0,0), IF(_xlpm.Fin-_xlpm.Init&gt;0, _xlfn.XLOOKUP(MIN(4,_xlpm.X+1),Exp_Shift[[Number]:[Number]],Exp_Shift[[Rating]:[Rating]],0,0),IF(_xlpm.Fin-_xlpm.Init&lt;0,_xlfn.XLOOKUP(MAX(0,_xlpm.X),Exp_Shift[[Number]:[Number]],Exp_Shift[[Rating]:[Rating]],0,0),Z74)))</f>
        <v>H</v>
      </c>
      <c r="AA120" t="str" cm="1">
        <f t="array" ref="AA120">_xlfn.LET(_xlpm.Fin,_xlfn.XLOOKUP(M120,Exp_Shift[[Rating]:[Rating]],Exp_Shift[[Number]:[Number]],0,0),_xlpm.Init,_xlfn.XLOOKUP(M74,Exp_Shift[[Rating]:[Rating]],Exp_Shift[[Number]:[Number]],0,0),_xlpm.X,_xlfn.XLOOKUP(AA74,Exp_Shift[[Rating]:[Rating]],Exp_Shift[[Number]:[Number]],0,0), IF(_xlpm.Fin-_xlpm.Init&gt;0, _xlfn.XLOOKUP(MIN(4,_xlpm.X+1),Exp_Shift[[Number]:[Number]],Exp_Shift[[Rating]:[Rating]],0,0),IF(_xlpm.Fin-_xlpm.Init&lt;0,_xlfn.XLOOKUP(MAX(0,_xlpm.X),Exp_Shift[[Number]:[Number]],Exp_Shift[[Rating]:[Rating]],0,0),AA74)))</f>
        <v>E</v>
      </c>
      <c r="AB120" t="str" cm="1">
        <f t="array" ref="AB120">_xlfn.LET(_xlpm.Fin,_xlfn.XLOOKUP(N120,Exp_Shift[[Rating]:[Rating]],Exp_Shift[[Number]:[Number]],0,0),_xlpm.Init,_xlfn.XLOOKUP(N74,Exp_Shift[[Rating]:[Rating]],Exp_Shift[[Number]:[Number]],0,0),_xlpm.X,_xlfn.XLOOKUP(AB74,Exp_Shift[[Rating]:[Rating]],Exp_Shift[[Number]:[Number]],0,0), IF(_xlpm.Fin-_xlpm.Init&gt;0, _xlfn.XLOOKUP(MIN(4,_xlpm.X+1),Exp_Shift[[Number]:[Number]],Exp_Shift[[Rating]:[Rating]],0,0),IF(_xlpm.Fin-_xlpm.Init&lt;0,_xlfn.XLOOKUP(MAX(0,_xlpm.X),Exp_Shift[[Number]:[Number]],Exp_Shift[[Rating]:[Rating]],0,0),AB74)))</f>
        <v>E</v>
      </c>
      <c r="AC120" t="str" cm="1">
        <f t="array" ref="AC120">_xlfn.LET(_xlpm.Fin,_xlfn.XLOOKUP(O120,Exp_Shift[[Rating]:[Rating]],Exp_Shift[[Number]:[Number]],0,0),_xlpm.Init,_xlfn.XLOOKUP(O74,Exp_Shift[[Rating]:[Rating]],Exp_Shift[[Number]:[Number]],0,0),_xlpm.X,_xlfn.XLOOKUP(AC74,Exp_Shift[[Rating]:[Rating]],Exp_Shift[[Number]:[Number]],0,0), IF(_xlpm.Fin-_xlpm.Init&gt;0, _xlfn.XLOOKUP(MIN(4,_xlpm.X+1),Exp_Shift[[Number]:[Number]],Exp_Shift[[Rating]:[Rating]],0,0),IF(_xlpm.Fin-_xlpm.Init&lt;0,_xlfn.XLOOKUP(MAX(0,_xlpm.X),Exp_Shift[[Number]:[Number]],Exp_Shift[[Rating]:[Rating]],0,0),AC74)))</f>
        <v>L</v>
      </c>
      <c r="AD120" t="str" cm="1">
        <f t="array" ref="AD120">_xlfn.LET(_xlpm.Fin,_xlfn.XLOOKUP(P120,Exp_Shift[[Rating]:[Rating]],Exp_Shift[[Number]:[Number]],0,0),_xlpm.Init,_xlfn.XLOOKUP(P74,Exp_Shift[[Rating]:[Rating]],Exp_Shift[[Number]:[Number]],0,0),_xlpm.X,_xlfn.XLOOKUP(AD74,Exp_Shift[[Rating]:[Rating]],Exp_Shift[[Number]:[Number]],0,0), IF(_xlpm.Fin-_xlpm.Init&gt;0, _xlfn.XLOOKUP(MIN(4,_xlpm.X+1),Exp_Shift[[Number]:[Number]],Exp_Shift[[Rating]:[Rating]],0,0),IF(_xlpm.Fin-_xlpm.Init&lt;0,_xlfn.XLOOKUP(MAX(0,_xlpm.X),Exp_Shift[[Number]:[Number]],Exp_Shift[[Rating]:[Rating]],0,0),AD74)))</f>
        <v>L</v>
      </c>
      <c r="AE120" s="27" t="str" cm="1">
        <f t="array" ref="AE120">_xlfn.LET(_xlpm.Fin,_xlfn.XLOOKUP(Q120,Exp_Shift[[Rating]:[Rating]],Exp_Shift[[Number]:[Number]],0,0),_xlpm.Init,_xlfn.XLOOKUP(Q74,Exp_Shift[[Rating]:[Rating]],Exp_Shift[[Number]:[Number]],0,0),_xlpm.X,_xlfn.XLOOKUP(AE74,Exp_Shift[[Rating]:[Rating]],Exp_Shift[[Number]:[Number]],0,0), IF(_xlpm.Fin-_xlpm.Init&gt;0, _xlfn.XLOOKUP(MIN(4,_xlpm.X+1),Exp_Shift[[Number]:[Number]],Exp_Shift[[Rating]:[Rating]],0,0),IF(_xlpm.Fin-_xlpm.Init&lt;0,_xlfn.XLOOKUP(MAX(0,_xlpm.X),Exp_Shift[[Number]:[Number]],Exp_Shift[[Rating]:[Rating]],0,0),AE74)))</f>
        <v>E</v>
      </c>
    </row>
    <row r="121" spans="8:31" ht="18" x14ac:dyDescent="0.35">
      <c r="H121" s="26">
        <v>64</v>
      </c>
      <c r="I121" s="332" t="s">
        <v>46</v>
      </c>
      <c r="J121" s="328" t="s">
        <v>79</v>
      </c>
      <c r="K121" s="23" t="str" cm="1">
        <f t="array" ref="K121">_xlfn.SWITCH(K98,"N/A","L","L","M","M","H","H","E","E","N/A")</f>
        <v>E</v>
      </c>
      <c r="L121" t="str" cm="1">
        <f t="array" ref="L121">_xlfn.SWITCH(L98,"N/A","L","L","M","M","H","H","E","E","N/A")</f>
        <v>N/A</v>
      </c>
      <c r="M121" t="str" cm="1">
        <f t="array" ref="M121">_xlfn.SWITCH(M98,"N/A","L","L","M","M","H","H","E","E","N/A")</f>
        <v>N/A</v>
      </c>
      <c r="N121" t="str" cm="1">
        <f t="array" ref="N121">_xlfn.SWITCH(N98,"N/A","L","L","M","M","H","H","E","E","N/A")</f>
        <v>H</v>
      </c>
      <c r="O121" t="str" cm="1">
        <f t="array" ref="O121">_xlfn.SWITCH(O98,"N/A","L","L","M","M","H","H","E","E","N/A")</f>
        <v>H</v>
      </c>
      <c r="P121" t="str" cm="1">
        <f t="array" ref="P121">_xlfn.SWITCH(P98,"N/A","L","L","M","M","H","H","E","E","N/A")</f>
        <v>H</v>
      </c>
      <c r="Q121" s="19" t="str" cm="1">
        <f t="array" ref="Q121">_xlfn.SWITCH(Q98,"N/A","L","L","M","M","H","H","E","E","N/A")</f>
        <v>E</v>
      </c>
      <c r="R121" s="23" t="str" cm="1">
        <f t="array" ref="R121">_xlfn.LET(_xlpm.Fin,_xlfn.XLOOKUP(K121,Exp_Shift[[Rating]:[Rating]],Exp_Shift[[Number]:[Number]],0,0),_xlpm.Init,_xlfn.XLOOKUP(K75,Exp_Shift[[Rating]:[Rating]],Exp_Shift[[Number]:[Number]],0,0),_xlpm.X,_xlfn.XLOOKUP(R75,Exp_Shift[[Rating]:[Rating]],Exp_Shift[[Number]:[Number]],0,0), IF(_xlpm.Fin-_xlpm.Init&gt;0, _xlfn.XLOOKUP(MIN(4,_xlpm.X+_xlpm.Fin-_xlpm.Init),Exp_Shift[[Number]:[Number]],Exp_Shift[[Rating]:[Rating]],0,0),IF(_xlpm.Fin-_xlpm.Init&lt;0,_xlfn.XLOOKUP(MAX(0,_xlpm.X-1),Exp_Shift[[Number]:[Number]],Exp_Shift[[Rating]:[Rating]],0,0),R75)))</f>
        <v>E</v>
      </c>
      <c r="S121" t="str" cm="1">
        <f t="array" ref="S121">_xlfn.LET(_xlpm.Fin,_xlfn.XLOOKUP(L121,Exp_Shift[[Rating]:[Rating]],Exp_Shift[[Number]:[Number]],0,0),_xlpm.Init,_xlfn.XLOOKUP(L75,Exp_Shift[[Rating]:[Rating]],Exp_Shift[[Number]:[Number]],0,0),_xlpm.X,_xlfn.XLOOKUP(S75,Exp_Shift[[Rating]:[Rating]],Exp_Shift[[Number]:[Number]],0,0), IF(_xlpm.Fin-_xlpm.Init&gt;0, _xlfn.XLOOKUP(MIN(4,_xlpm.X+_xlpm.Fin-_xlpm.Init),Exp_Shift[[Number]:[Number]],Exp_Shift[[Rating]:[Rating]],0,0),IF(_xlpm.Fin-_xlpm.Init&lt;0,_xlfn.XLOOKUP(MAX(0,_xlpm.X-1),Exp_Shift[[Number]:[Number]],Exp_Shift[[Rating]:[Rating]],0,0),S75)))</f>
        <v>M</v>
      </c>
      <c r="T121" t="str" cm="1">
        <f t="array" ref="T121">_xlfn.LET(_xlpm.Fin,_xlfn.XLOOKUP(M121,Exp_Shift[[Rating]:[Rating]],Exp_Shift[[Number]:[Number]],0,0),_xlpm.Init,_xlfn.XLOOKUP(M75,Exp_Shift[[Rating]:[Rating]],Exp_Shift[[Number]:[Number]],0,0),_xlpm.X,_xlfn.XLOOKUP(T75,Exp_Shift[[Rating]:[Rating]],Exp_Shift[[Number]:[Number]],0,0), IF(_xlpm.Fin-_xlpm.Init&gt;0, _xlfn.XLOOKUP(MIN(4,_xlpm.X+_xlpm.Fin-_xlpm.Init),Exp_Shift[[Number]:[Number]],Exp_Shift[[Rating]:[Rating]],0,0),IF(_xlpm.Fin-_xlpm.Init&lt;0,_xlfn.XLOOKUP(MAX(0,_xlpm.X-1),Exp_Shift[[Number]:[Number]],Exp_Shift[[Rating]:[Rating]],0,0),T75)))</f>
        <v>H</v>
      </c>
      <c r="U121" t="str" cm="1">
        <f t="array" ref="U121">_xlfn.LET(_xlpm.Fin,_xlfn.XLOOKUP(N121,Exp_Shift[[Rating]:[Rating]],Exp_Shift[[Number]:[Number]],0,0),_xlpm.Init,_xlfn.XLOOKUP(N75,Exp_Shift[[Rating]:[Rating]],Exp_Shift[[Number]:[Number]],0,0),_xlpm.X,_xlfn.XLOOKUP(U75,Exp_Shift[[Rating]:[Rating]],Exp_Shift[[Number]:[Number]],0,0), IF(_xlpm.Fin-_xlpm.Init&gt;0, _xlfn.XLOOKUP(MIN(4,_xlpm.X+_xlpm.Fin-_xlpm.Init),Exp_Shift[[Number]:[Number]],Exp_Shift[[Rating]:[Rating]],0,0),IF(_xlpm.Fin-_xlpm.Init&lt;0,_xlfn.XLOOKUP(MAX(0,_xlpm.X-1),Exp_Shift[[Number]:[Number]],Exp_Shift[[Rating]:[Rating]],0,0),U75)))</f>
        <v>H</v>
      </c>
      <c r="V121" t="str" cm="1">
        <f t="array" ref="V121">_xlfn.LET(_xlpm.Fin,_xlfn.XLOOKUP(O121,Exp_Shift[[Rating]:[Rating]],Exp_Shift[[Number]:[Number]],0,0),_xlpm.Init,_xlfn.XLOOKUP(O75,Exp_Shift[[Rating]:[Rating]],Exp_Shift[[Number]:[Number]],0,0),_xlpm.X,_xlfn.XLOOKUP(V75,Exp_Shift[[Rating]:[Rating]],Exp_Shift[[Number]:[Number]],0,0), IF(_xlpm.Fin-_xlpm.Init&gt;0, _xlfn.XLOOKUP(MIN(4,_xlpm.X+_xlpm.Fin-_xlpm.Init),Exp_Shift[[Number]:[Number]],Exp_Shift[[Rating]:[Rating]],0,0),IF(_xlpm.Fin-_xlpm.Init&lt;0,_xlfn.XLOOKUP(MAX(0,_xlpm.X-1),Exp_Shift[[Number]:[Number]],Exp_Shift[[Rating]:[Rating]],0,0),V75)))</f>
        <v>E</v>
      </c>
      <c r="W121" t="str" cm="1">
        <f t="array" ref="W121">_xlfn.LET(_xlpm.Fin,_xlfn.XLOOKUP(P121,Exp_Shift[[Rating]:[Rating]],Exp_Shift[[Number]:[Number]],0,0),_xlpm.Init,_xlfn.XLOOKUP(P75,Exp_Shift[[Rating]:[Rating]],Exp_Shift[[Number]:[Number]],0,0),_xlpm.X,_xlfn.XLOOKUP(W75,Exp_Shift[[Rating]:[Rating]],Exp_Shift[[Number]:[Number]],0,0), IF(_xlpm.Fin-_xlpm.Init&gt;0, _xlfn.XLOOKUP(MIN(4,_xlpm.X+_xlpm.Fin-_xlpm.Init),Exp_Shift[[Number]:[Number]],Exp_Shift[[Rating]:[Rating]],0,0),IF(_xlpm.Fin-_xlpm.Init&lt;0,_xlfn.XLOOKUP(MAX(0,_xlpm.X-1),Exp_Shift[[Number]:[Number]],Exp_Shift[[Rating]:[Rating]],0,0),W75)))</f>
        <v>E</v>
      </c>
      <c r="X121" s="19" t="str" cm="1">
        <f t="array" ref="X121">_xlfn.LET(_xlpm.Fin,_xlfn.XLOOKUP(Q121,Exp_Shift[[Rating]:[Rating]],Exp_Shift[[Number]:[Number]],0,0),_xlpm.Init,_xlfn.XLOOKUP(Q75,Exp_Shift[[Rating]:[Rating]],Exp_Shift[[Number]:[Number]],0,0),_xlpm.X,_xlfn.XLOOKUP(X75,Exp_Shift[[Rating]:[Rating]],Exp_Shift[[Number]:[Number]],0,0), IF(_xlpm.Fin-_xlpm.Init&gt;0, _xlfn.XLOOKUP(MIN(4,_xlpm.X+_xlpm.Fin-_xlpm.Init),Exp_Shift[[Number]:[Number]],Exp_Shift[[Rating]:[Rating]],0,0),IF(_xlpm.Fin-_xlpm.Init&lt;0,_xlfn.XLOOKUP(MAX(0,_xlpm.X-1),Exp_Shift[[Number]:[Number]],Exp_Shift[[Rating]:[Rating]],0,0),X75)))</f>
        <v>E</v>
      </c>
      <c r="Y121" s="23" t="str" cm="1">
        <f t="array" ref="Y121">_xlfn.LET(_xlpm.Fin,_xlfn.XLOOKUP(K121,Exp_Shift[[Rating]:[Rating]],Exp_Shift[[Number]:[Number]],0,0),_xlpm.Init,_xlfn.XLOOKUP(K75,Exp_Shift[[Rating]:[Rating]],Exp_Shift[[Number]:[Number]],0,0),_xlpm.X,_xlfn.XLOOKUP(Y75,Exp_Shift[[Rating]:[Rating]],Exp_Shift[[Number]:[Number]],0,0), IF(_xlpm.Fin-_xlpm.Init&gt;0, _xlfn.XLOOKUP(MIN(4,_xlpm.X+1),Exp_Shift[[Number]:[Number]],Exp_Shift[[Rating]:[Rating]],0,0),IF(_xlpm.Fin-_xlpm.Init&lt;0,_xlfn.XLOOKUP(MAX(0,_xlpm.X),Exp_Shift[[Number]:[Number]],Exp_Shift[[Rating]:[Rating]],0,0),Y75)))</f>
        <v>E</v>
      </c>
      <c r="Z121" t="str" cm="1">
        <f t="array" ref="Z121">_xlfn.LET(_xlpm.Fin,_xlfn.XLOOKUP(L121,Exp_Shift[[Rating]:[Rating]],Exp_Shift[[Number]:[Number]],0,0),_xlpm.Init,_xlfn.XLOOKUP(L75,Exp_Shift[[Rating]:[Rating]],Exp_Shift[[Number]:[Number]],0,0),_xlpm.X,_xlfn.XLOOKUP(Z75,Exp_Shift[[Rating]:[Rating]],Exp_Shift[[Number]:[Number]],0,0), IF(_xlpm.Fin-_xlpm.Init&gt;0, _xlfn.XLOOKUP(MIN(4,_xlpm.X+1),Exp_Shift[[Number]:[Number]],Exp_Shift[[Rating]:[Rating]],0,0),IF(_xlpm.Fin-_xlpm.Init&lt;0,_xlfn.XLOOKUP(MAX(0,_xlpm.X),Exp_Shift[[Number]:[Number]],Exp_Shift[[Rating]:[Rating]],0,0),Z75)))</f>
        <v>H</v>
      </c>
      <c r="AA121" t="str" cm="1">
        <f t="array" ref="AA121">_xlfn.LET(_xlpm.Fin,_xlfn.XLOOKUP(M121,Exp_Shift[[Rating]:[Rating]],Exp_Shift[[Number]:[Number]],0,0),_xlpm.Init,_xlfn.XLOOKUP(M75,Exp_Shift[[Rating]:[Rating]],Exp_Shift[[Number]:[Number]],0,0),_xlpm.X,_xlfn.XLOOKUP(AA75,Exp_Shift[[Rating]:[Rating]],Exp_Shift[[Number]:[Number]],0,0), IF(_xlpm.Fin-_xlpm.Init&gt;0, _xlfn.XLOOKUP(MIN(4,_xlpm.X+1),Exp_Shift[[Number]:[Number]],Exp_Shift[[Rating]:[Rating]],0,0),IF(_xlpm.Fin-_xlpm.Init&lt;0,_xlfn.XLOOKUP(MAX(0,_xlpm.X),Exp_Shift[[Number]:[Number]],Exp_Shift[[Rating]:[Rating]],0,0),AA75)))</f>
        <v>E</v>
      </c>
      <c r="AB121" t="str" cm="1">
        <f t="array" ref="AB121">_xlfn.LET(_xlpm.Fin,_xlfn.XLOOKUP(N121,Exp_Shift[[Rating]:[Rating]],Exp_Shift[[Number]:[Number]],0,0),_xlpm.Init,_xlfn.XLOOKUP(N75,Exp_Shift[[Rating]:[Rating]],Exp_Shift[[Number]:[Number]],0,0),_xlpm.X,_xlfn.XLOOKUP(AB75,Exp_Shift[[Rating]:[Rating]],Exp_Shift[[Number]:[Number]],0,0), IF(_xlpm.Fin-_xlpm.Init&gt;0, _xlfn.XLOOKUP(MIN(4,_xlpm.X+1),Exp_Shift[[Number]:[Number]],Exp_Shift[[Rating]:[Rating]],0,0),IF(_xlpm.Fin-_xlpm.Init&lt;0,_xlfn.XLOOKUP(MAX(0,_xlpm.X),Exp_Shift[[Number]:[Number]],Exp_Shift[[Rating]:[Rating]],0,0),AB75)))</f>
        <v>M</v>
      </c>
      <c r="AC121" t="str" cm="1">
        <f t="array" ref="AC121">_xlfn.LET(_xlpm.Fin,_xlfn.XLOOKUP(O121,Exp_Shift[[Rating]:[Rating]],Exp_Shift[[Number]:[Number]],0,0),_xlpm.Init,_xlfn.XLOOKUP(O75,Exp_Shift[[Rating]:[Rating]],Exp_Shift[[Number]:[Number]],0,0),_xlpm.X,_xlfn.XLOOKUP(AC75,Exp_Shift[[Rating]:[Rating]],Exp_Shift[[Number]:[Number]],0,0), IF(_xlpm.Fin-_xlpm.Init&gt;0, _xlfn.XLOOKUP(MIN(4,_xlpm.X+1),Exp_Shift[[Number]:[Number]],Exp_Shift[[Rating]:[Rating]],0,0),IF(_xlpm.Fin-_xlpm.Init&lt;0,_xlfn.XLOOKUP(MAX(0,_xlpm.X),Exp_Shift[[Number]:[Number]],Exp_Shift[[Rating]:[Rating]],0,0),AC75)))</f>
        <v>E</v>
      </c>
      <c r="AD121" t="str" cm="1">
        <f t="array" ref="AD121">_xlfn.LET(_xlpm.Fin,_xlfn.XLOOKUP(P121,Exp_Shift[[Rating]:[Rating]],Exp_Shift[[Number]:[Number]],0,0),_xlpm.Init,_xlfn.XLOOKUP(P75,Exp_Shift[[Rating]:[Rating]],Exp_Shift[[Number]:[Number]],0,0),_xlpm.X,_xlfn.XLOOKUP(AD75,Exp_Shift[[Rating]:[Rating]],Exp_Shift[[Number]:[Number]],0,0), IF(_xlpm.Fin-_xlpm.Init&gt;0, _xlfn.XLOOKUP(MIN(4,_xlpm.X+1),Exp_Shift[[Number]:[Number]],Exp_Shift[[Rating]:[Rating]],0,0),IF(_xlpm.Fin-_xlpm.Init&lt;0,_xlfn.XLOOKUP(MAX(0,_xlpm.X),Exp_Shift[[Number]:[Number]],Exp_Shift[[Rating]:[Rating]],0,0),AD75)))</f>
        <v>E</v>
      </c>
      <c r="AE121" s="27" t="str" cm="1">
        <f t="array" ref="AE121">_xlfn.LET(_xlpm.Fin,_xlfn.XLOOKUP(Q121,Exp_Shift[[Rating]:[Rating]],Exp_Shift[[Number]:[Number]],0,0),_xlpm.Init,_xlfn.XLOOKUP(Q75,Exp_Shift[[Rating]:[Rating]],Exp_Shift[[Number]:[Number]],0,0),_xlpm.X,_xlfn.XLOOKUP(AE75,Exp_Shift[[Rating]:[Rating]],Exp_Shift[[Number]:[Number]],0,0), IF(_xlpm.Fin-_xlpm.Init&gt;0, _xlfn.XLOOKUP(MIN(4,_xlpm.X+1),Exp_Shift[[Number]:[Number]],Exp_Shift[[Rating]:[Rating]],0,0),IF(_xlpm.Fin-_xlpm.Init&lt;0,_xlfn.XLOOKUP(MAX(0,_xlpm.X),Exp_Shift[[Number]:[Number]],Exp_Shift[[Rating]:[Rating]],0,0),AE75)))</f>
        <v>E</v>
      </c>
    </row>
    <row r="122" spans="8:31" ht="18" x14ac:dyDescent="0.35">
      <c r="H122" s="26">
        <v>65</v>
      </c>
      <c r="I122" s="332" t="s">
        <v>46</v>
      </c>
      <c r="J122" s="328" t="s">
        <v>443</v>
      </c>
      <c r="K122" s="23" t="str" cm="1">
        <f t="array" ref="K122">_xlfn.SWITCH(K99,"N/A","L","L","M","M","H","H","E","E","N/A")</f>
        <v>E</v>
      </c>
      <c r="L122" t="str" cm="1">
        <f t="array" ref="L122">_xlfn.SWITCH(L99,"N/A","L","L","M","M","H","H","E","E","N/A")</f>
        <v>N/A</v>
      </c>
      <c r="M122" t="str" cm="1">
        <f t="array" ref="M122">_xlfn.SWITCH(M99,"N/A","L","L","M","M","H","H","E","E","N/A")</f>
        <v>N/A</v>
      </c>
      <c r="N122" t="str" cm="1">
        <f t="array" ref="N122">_xlfn.SWITCH(N99,"N/A","L","L","M","M","H","H","E","E","N/A")</f>
        <v>H</v>
      </c>
      <c r="O122" t="str" cm="1">
        <f t="array" ref="O122">_xlfn.SWITCH(O99,"N/A","L","L","M","M","H","H","E","E","N/A")</f>
        <v>M</v>
      </c>
      <c r="P122" t="str" cm="1">
        <f t="array" ref="P122">_xlfn.SWITCH(P99,"N/A","L","L","M","M","H","H","E","E","N/A")</f>
        <v>M</v>
      </c>
      <c r="Q122" s="19" t="str" cm="1">
        <f t="array" ref="Q122">_xlfn.SWITCH(Q99,"N/A","L","L","M","M","H","H","E","E","N/A")</f>
        <v>E</v>
      </c>
      <c r="R122" s="23" t="str" cm="1">
        <f t="array" ref="R122">_xlfn.LET(_xlpm.Fin,_xlfn.XLOOKUP(K122,Exp_Shift[[Rating]:[Rating]],Exp_Shift[[Number]:[Number]],0,0),_xlpm.Init,_xlfn.XLOOKUP(K76,Exp_Shift[[Rating]:[Rating]],Exp_Shift[[Number]:[Number]],0,0),_xlpm.X,_xlfn.XLOOKUP(R76,Exp_Shift[[Rating]:[Rating]],Exp_Shift[[Number]:[Number]],0,0), IF(_xlpm.Fin-_xlpm.Init&gt;0, _xlfn.XLOOKUP(MIN(4,_xlpm.X+_xlpm.Fin-_xlpm.Init),Exp_Shift[[Number]:[Number]],Exp_Shift[[Rating]:[Rating]],0,0),IF(_xlpm.Fin-_xlpm.Init&lt;0,_xlfn.XLOOKUP(MAX(0,_xlpm.X-1),Exp_Shift[[Number]:[Number]],Exp_Shift[[Rating]:[Rating]],0,0),R76)))</f>
        <v>E</v>
      </c>
      <c r="S122" t="str" cm="1">
        <f t="array" ref="S122">_xlfn.LET(_xlpm.Fin,_xlfn.XLOOKUP(L122,Exp_Shift[[Rating]:[Rating]],Exp_Shift[[Number]:[Number]],0,0),_xlpm.Init,_xlfn.XLOOKUP(L76,Exp_Shift[[Rating]:[Rating]],Exp_Shift[[Number]:[Number]],0,0),_xlpm.X,_xlfn.XLOOKUP(S76,Exp_Shift[[Rating]:[Rating]],Exp_Shift[[Number]:[Number]],0,0), IF(_xlpm.Fin-_xlpm.Init&gt;0, _xlfn.XLOOKUP(MIN(4,_xlpm.X+_xlpm.Fin-_xlpm.Init),Exp_Shift[[Number]:[Number]],Exp_Shift[[Rating]:[Rating]],0,0),IF(_xlpm.Fin-_xlpm.Init&lt;0,_xlfn.XLOOKUP(MAX(0,_xlpm.X-1),Exp_Shift[[Number]:[Number]],Exp_Shift[[Rating]:[Rating]],0,0),S76)))</f>
        <v>M</v>
      </c>
      <c r="T122" t="str" cm="1">
        <f t="array" ref="T122">_xlfn.LET(_xlpm.Fin,_xlfn.XLOOKUP(M122,Exp_Shift[[Rating]:[Rating]],Exp_Shift[[Number]:[Number]],0,0),_xlpm.Init,_xlfn.XLOOKUP(M76,Exp_Shift[[Rating]:[Rating]],Exp_Shift[[Number]:[Number]],0,0),_xlpm.X,_xlfn.XLOOKUP(T76,Exp_Shift[[Rating]:[Rating]],Exp_Shift[[Number]:[Number]],0,0), IF(_xlpm.Fin-_xlpm.Init&gt;0, _xlfn.XLOOKUP(MIN(4,_xlpm.X+_xlpm.Fin-_xlpm.Init),Exp_Shift[[Number]:[Number]],Exp_Shift[[Rating]:[Rating]],0,0),IF(_xlpm.Fin-_xlpm.Init&lt;0,_xlfn.XLOOKUP(MAX(0,_xlpm.X-1),Exp_Shift[[Number]:[Number]],Exp_Shift[[Rating]:[Rating]],0,0),T76)))</f>
        <v>H</v>
      </c>
      <c r="U122" t="str" cm="1">
        <f t="array" ref="U122">_xlfn.LET(_xlpm.Fin,_xlfn.XLOOKUP(N122,Exp_Shift[[Rating]:[Rating]],Exp_Shift[[Number]:[Number]],0,0),_xlpm.Init,_xlfn.XLOOKUP(N76,Exp_Shift[[Rating]:[Rating]],Exp_Shift[[Number]:[Number]],0,0),_xlpm.X,_xlfn.XLOOKUP(U76,Exp_Shift[[Rating]:[Rating]],Exp_Shift[[Number]:[Number]],0,0), IF(_xlpm.Fin-_xlpm.Init&gt;0, _xlfn.XLOOKUP(MIN(4,_xlpm.X+_xlpm.Fin-_xlpm.Init),Exp_Shift[[Number]:[Number]],Exp_Shift[[Rating]:[Rating]],0,0),IF(_xlpm.Fin-_xlpm.Init&lt;0,_xlfn.XLOOKUP(MAX(0,_xlpm.X-1),Exp_Shift[[Number]:[Number]],Exp_Shift[[Rating]:[Rating]],0,0),U76)))</f>
        <v>E</v>
      </c>
      <c r="V122" t="str" cm="1">
        <f t="array" ref="V122">_xlfn.LET(_xlpm.Fin,_xlfn.XLOOKUP(O122,Exp_Shift[[Rating]:[Rating]],Exp_Shift[[Number]:[Number]],0,0),_xlpm.Init,_xlfn.XLOOKUP(O76,Exp_Shift[[Rating]:[Rating]],Exp_Shift[[Number]:[Number]],0,0),_xlpm.X,_xlfn.XLOOKUP(V76,Exp_Shift[[Rating]:[Rating]],Exp_Shift[[Number]:[Number]],0,0), IF(_xlpm.Fin-_xlpm.Init&gt;0, _xlfn.XLOOKUP(MIN(4,_xlpm.X+_xlpm.Fin-_xlpm.Init),Exp_Shift[[Number]:[Number]],Exp_Shift[[Rating]:[Rating]],0,0),IF(_xlpm.Fin-_xlpm.Init&lt;0,_xlfn.XLOOKUP(MAX(0,_xlpm.X-1),Exp_Shift[[Number]:[Number]],Exp_Shift[[Rating]:[Rating]],0,0),V76)))</f>
        <v>M</v>
      </c>
      <c r="W122" t="str" cm="1">
        <f t="array" ref="W122">_xlfn.LET(_xlpm.Fin,_xlfn.XLOOKUP(P122,Exp_Shift[[Rating]:[Rating]],Exp_Shift[[Number]:[Number]],0,0),_xlpm.Init,_xlfn.XLOOKUP(P76,Exp_Shift[[Rating]:[Rating]],Exp_Shift[[Number]:[Number]],0,0),_xlpm.X,_xlfn.XLOOKUP(W76,Exp_Shift[[Rating]:[Rating]],Exp_Shift[[Number]:[Number]],0,0), IF(_xlpm.Fin-_xlpm.Init&gt;0, _xlfn.XLOOKUP(MIN(4,_xlpm.X+_xlpm.Fin-_xlpm.Init),Exp_Shift[[Number]:[Number]],Exp_Shift[[Rating]:[Rating]],0,0),IF(_xlpm.Fin-_xlpm.Init&lt;0,_xlfn.XLOOKUP(MAX(0,_xlpm.X-1),Exp_Shift[[Number]:[Number]],Exp_Shift[[Rating]:[Rating]],0,0),W76)))</f>
        <v>M</v>
      </c>
      <c r="X122" s="19" t="str" cm="1">
        <f t="array" ref="X122">_xlfn.LET(_xlpm.Fin,_xlfn.XLOOKUP(Q122,Exp_Shift[[Rating]:[Rating]],Exp_Shift[[Number]:[Number]],0,0),_xlpm.Init,_xlfn.XLOOKUP(Q76,Exp_Shift[[Rating]:[Rating]],Exp_Shift[[Number]:[Number]],0,0),_xlpm.X,_xlfn.XLOOKUP(X76,Exp_Shift[[Rating]:[Rating]],Exp_Shift[[Number]:[Number]],0,0), IF(_xlpm.Fin-_xlpm.Init&gt;0, _xlfn.XLOOKUP(MIN(4,_xlpm.X+_xlpm.Fin-_xlpm.Init),Exp_Shift[[Number]:[Number]],Exp_Shift[[Rating]:[Rating]],0,0),IF(_xlpm.Fin-_xlpm.Init&lt;0,_xlfn.XLOOKUP(MAX(0,_xlpm.X-1),Exp_Shift[[Number]:[Number]],Exp_Shift[[Rating]:[Rating]],0,0),X76)))</f>
        <v>E</v>
      </c>
      <c r="Y122" s="23" t="str" cm="1">
        <f t="array" ref="Y122">_xlfn.LET(_xlpm.Fin,_xlfn.XLOOKUP(K122,Exp_Shift[[Rating]:[Rating]],Exp_Shift[[Number]:[Number]],0,0),_xlpm.Init,_xlfn.XLOOKUP(K76,Exp_Shift[[Rating]:[Rating]],Exp_Shift[[Number]:[Number]],0,0),_xlpm.X,_xlfn.XLOOKUP(Y76,Exp_Shift[[Rating]:[Rating]],Exp_Shift[[Number]:[Number]],0,0), IF(_xlpm.Fin-_xlpm.Init&gt;0, _xlfn.XLOOKUP(MIN(4,_xlpm.X+1),Exp_Shift[[Number]:[Number]],Exp_Shift[[Rating]:[Rating]],0,0),IF(_xlpm.Fin-_xlpm.Init&lt;0,_xlfn.XLOOKUP(MAX(0,_xlpm.X),Exp_Shift[[Number]:[Number]],Exp_Shift[[Rating]:[Rating]],0,0),Y76)))</f>
        <v>E</v>
      </c>
      <c r="Z122" t="str" cm="1">
        <f t="array" ref="Z122">_xlfn.LET(_xlpm.Fin,_xlfn.XLOOKUP(L122,Exp_Shift[[Rating]:[Rating]],Exp_Shift[[Number]:[Number]],0,0),_xlpm.Init,_xlfn.XLOOKUP(L76,Exp_Shift[[Rating]:[Rating]],Exp_Shift[[Number]:[Number]],0,0),_xlpm.X,_xlfn.XLOOKUP(Z76,Exp_Shift[[Rating]:[Rating]],Exp_Shift[[Number]:[Number]],0,0), IF(_xlpm.Fin-_xlpm.Init&gt;0, _xlfn.XLOOKUP(MIN(4,_xlpm.X+1),Exp_Shift[[Number]:[Number]],Exp_Shift[[Rating]:[Rating]],0,0),IF(_xlpm.Fin-_xlpm.Init&lt;0,_xlfn.XLOOKUP(MAX(0,_xlpm.X),Exp_Shift[[Number]:[Number]],Exp_Shift[[Rating]:[Rating]],0,0),Z76)))</f>
        <v>H</v>
      </c>
      <c r="AA122" t="str" cm="1">
        <f t="array" ref="AA122">_xlfn.LET(_xlpm.Fin,_xlfn.XLOOKUP(M122,Exp_Shift[[Rating]:[Rating]],Exp_Shift[[Number]:[Number]],0,0),_xlpm.Init,_xlfn.XLOOKUP(M76,Exp_Shift[[Rating]:[Rating]],Exp_Shift[[Number]:[Number]],0,0),_xlpm.X,_xlfn.XLOOKUP(AA76,Exp_Shift[[Rating]:[Rating]],Exp_Shift[[Number]:[Number]],0,0), IF(_xlpm.Fin-_xlpm.Init&gt;0, _xlfn.XLOOKUP(MIN(4,_xlpm.X+1),Exp_Shift[[Number]:[Number]],Exp_Shift[[Rating]:[Rating]],0,0),IF(_xlpm.Fin-_xlpm.Init&lt;0,_xlfn.XLOOKUP(MAX(0,_xlpm.X),Exp_Shift[[Number]:[Number]],Exp_Shift[[Rating]:[Rating]],0,0),AA76)))</f>
        <v>E</v>
      </c>
      <c r="AB122" t="str" cm="1">
        <f t="array" ref="AB122">_xlfn.LET(_xlpm.Fin,_xlfn.XLOOKUP(N122,Exp_Shift[[Rating]:[Rating]],Exp_Shift[[Number]:[Number]],0,0),_xlpm.Init,_xlfn.XLOOKUP(N76,Exp_Shift[[Rating]:[Rating]],Exp_Shift[[Number]:[Number]],0,0),_xlpm.X,_xlfn.XLOOKUP(AB76,Exp_Shift[[Rating]:[Rating]],Exp_Shift[[Number]:[Number]],0,0), IF(_xlpm.Fin-_xlpm.Init&gt;0, _xlfn.XLOOKUP(MIN(4,_xlpm.X+1),Exp_Shift[[Number]:[Number]],Exp_Shift[[Rating]:[Rating]],0,0),IF(_xlpm.Fin-_xlpm.Init&lt;0,_xlfn.XLOOKUP(MAX(0,_xlpm.X),Exp_Shift[[Number]:[Number]],Exp_Shift[[Rating]:[Rating]],0,0),AB76)))</f>
        <v>E</v>
      </c>
      <c r="AC122" t="str" cm="1">
        <f t="array" ref="AC122">_xlfn.LET(_xlpm.Fin,_xlfn.XLOOKUP(O122,Exp_Shift[[Rating]:[Rating]],Exp_Shift[[Number]:[Number]],0,0),_xlpm.Init,_xlfn.XLOOKUP(O76,Exp_Shift[[Rating]:[Rating]],Exp_Shift[[Number]:[Number]],0,0),_xlpm.X,_xlfn.XLOOKUP(AC76,Exp_Shift[[Rating]:[Rating]],Exp_Shift[[Number]:[Number]],0,0), IF(_xlpm.Fin-_xlpm.Init&gt;0, _xlfn.XLOOKUP(MIN(4,_xlpm.X+1),Exp_Shift[[Number]:[Number]],Exp_Shift[[Rating]:[Rating]],0,0),IF(_xlpm.Fin-_xlpm.Init&lt;0,_xlfn.XLOOKUP(MAX(0,_xlpm.X),Exp_Shift[[Number]:[Number]],Exp_Shift[[Rating]:[Rating]],0,0),AC76)))</f>
        <v>L</v>
      </c>
      <c r="AD122" t="str" cm="1">
        <f t="array" ref="AD122">_xlfn.LET(_xlpm.Fin,_xlfn.XLOOKUP(P122,Exp_Shift[[Rating]:[Rating]],Exp_Shift[[Number]:[Number]],0,0),_xlpm.Init,_xlfn.XLOOKUP(P76,Exp_Shift[[Rating]:[Rating]],Exp_Shift[[Number]:[Number]],0,0),_xlpm.X,_xlfn.XLOOKUP(AD76,Exp_Shift[[Rating]:[Rating]],Exp_Shift[[Number]:[Number]],0,0), IF(_xlpm.Fin-_xlpm.Init&gt;0, _xlfn.XLOOKUP(MIN(4,_xlpm.X+1),Exp_Shift[[Number]:[Number]],Exp_Shift[[Rating]:[Rating]],0,0),IF(_xlpm.Fin-_xlpm.Init&lt;0,_xlfn.XLOOKUP(MAX(0,_xlpm.X),Exp_Shift[[Number]:[Number]],Exp_Shift[[Rating]:[Rating]],0,0),AD76)))</f>
        <v>L</v>
      </c>
      <c r="AE122" s="27" t="str" cm="1">
        <f t="array" ref="AE122">_xlfn.LET(_xlpm.Fin,_xlfn.XLOOKUP(Q122,Exp_Shift[[Rating]:[Rating]],Exp_Shift[[Number]:[Number]],0,0),_xlpm.Init,_xlfn.XLOOKUP(Q76,Exp_Shift[[Rating]:[Rating]],Exp_Shift[[Number]:[Number]],0,0),_xlpm.X,_xlfn.XLOOKUP(AE76,Exp_Shift[[Rating]:[Rating]],Exp_Shift[[Number]:[Number]],0,0), IF(_xlpm.Fin-_xlpm.Init&gt;0, _xlfn.XLOOKUP(MIN(4,_xlpm.X+1),Exp_Shift[[Number]:[Number]],Exp_Shift[[Rating]:[Rating]],0,0),IF(_xlpm.Fin-_xlpm.Init&lt;0,_xlfn.XLOOKUP(MAX(0,_xlpm.X),Exp_Shift[[Number]:[Number]],Exp_Shift[[Rating]:[Rating]],0,0),AE76)))</f>
        <v>H</v>
      </c>
    </row>
    <row r="123" spans="8:31" ht="18" x14ac:dyDescent="0.35">
      <c r="H123" s="26">
        <v>66</v>
      </c>
      <c r="I123" s="332" t="s">
        <v>46</v>
      </c>
      <c r="J123" s="328" t="s">
        <v>222</v>
      </c>
      <c r="K123" s="23" t="str" cm="1">
        <f t="array" ref="K123">_xlfn.SWITCH(K100,"N/A","L","L","M","M","H","H","E","E","N/A")</f>
        <v>E</v>
      </c>
      <c r="L123" t="str" cm="1">
        <f t="array" ref="L123">_xlfn.SWITCH(L100,"N/A","L","L","M","M","H","H","E","E","N/A")</f>
        <v>N/A</v>
      </c>
      <c r="M123" t="str" cm="1">
        <f t="array" ref="M123">_xlfn.SWITCH(M100,"N/A","L","L","M","M","H","H","E","E","N/A")</f>
        <v>N/A</v>
      </c>
      <c r="N123" t="str" cm="1">
        <f t="array" ref="N123">_xlfn.SWITCH(N100,"N/A","L","L","M","M","H","H","E","E","N/A")</f>
        <v>H</v>
      </c>
      <c r="O123" t="str" cm="1">
        <f t="array" ref="O123">_xlfn.SWITCH(O100,"N/A","L","L","M","M","H","H","E","E","N/A")</f>
        <v>H</v>
      </c>
      <c r="P123" t="str" cm="1">
        <f t="array" ref="P123">_xlfn.SWITCH(P100,"N/A","L","L","M","M","H","H","E","E","N/A")</f>
        <v>H</v>
      </c>
      <c r="Q123" s="19" t="str" cm="1">
        <f t="array" ref="Q123">_xlfn.SWITCH(Q100,"N/A","L","L","M","M","H","H","E","E","N/A")</f>
        <v>E</v>
      </c>
      <c r="R123" s="23" t="str" cm="1">
        <f t="array" ref="R123">_xlfn.LET(_xlpm.Fin,_xlfn.XLOOKUP(K123,Exp_Shift[[Rating]:[Rating]],Exp_Shift[[Number]:[Number]],0,0),_xlpm.Init,_xlfn.XLOOKUP(K77,Exp_Shift[[Rating]:[Rating]],Exp_Shift[[Number]:[Number]],0,0),_xlpm.X,_xlfn.XLOOKUP(R77,Exp_Shift[[Rating]:[Rating]],Exp_Shift[[Number]:[Number]],0,0), IF(_xlpm.Fin-_xlpm.Init&gt;0, _xlfn.XLOOKUP(MIN(4,_xlpm.X+_xlpm.Fin-_xlpm.Init),Exp_Shift[[Number]:[Number]],Exp_Shift[[Rating]:[Rating]],0,0),IF(_xlpm.Fin-_xlpm.Init&lt;0,_xlfn.XLOOKUP(MAX(0,_xlpm.X-1),Exp_Shift[[Number]:[Number]],Exp_Shift[[Rating]:[Rating]],0,0),R77)))</f>
        <v>E</v>
      </c>
      <c r="S123" t="str" cm="1">
        <f t="array" ref="S123">_xlfn.LET(_xlpm.Fin,_xlfn.XLOOKUP(L123,Exp_Shift[[Rating]:[Rating]],Exp_Shift[[Number]:[Number]],0,0),_xlpm.Init,_xlfn.XLOOKUP(L77,Exp_Shift[[Rating]:[Rating]],Exp_Shift[[Number]:[Number]],0,0),_xlpm.X,_xlfn.XLOOKUP(S77,Exp_Shift[[Rating]:[Rating]],Exp_Shift[[Number]:[Number]],0,0), IF(_xlpm.Fin-_xlpm.Init&gt;0, _xlfn.XLOOKUP(MIN(4,_xlpm.X+_xlpm.Fin-_xlpm.Init),Exp_Shift[[Number]:[Number]],Exp_Shift[[Rating]:[Rating]],0,0),IF(_xlpm.Fin-_xlpm.Init&lt;0,_xlfn.XLOOKUP(MAX(0,_xlpm.X-1),Exp_Shift[[Number]:[Number]],Exp_Shift[[Rating]:[Rating]],0,0),S77)))</f>
        <v>M</v>
      </c>
      <c r="T123" t="str" cm="1">
        <f t="array" ref="T123">_xlfn.LET(_xlpm.Fin,_xlfn.XLOOKUP(M123,Exp_Shift[[Rating]:[Rating]],Exp_Shift[[Number]:[Number]],0,0),_xlpm.Init,_xlfn.XLOOKUP(M77,Exp_Shift[[Rating]:[Rating]],Exp_Shift[[Number]:[Number]],0,0),_xlpm.X,_xlfn.XLOOKUP(T77,Exp_Shift[[Rating]:[Rating]],Exp_Shift[[Number]:[Number]],0,0), IF(_xlpm.Fin-_xlpm.Init&gt;0, _xlfn.XLOOKUP(MIN(4,_xlpm.X+_xlpm.Fin-_xlpm.Init),Exp_Shift[[Number]:[Number]],Exp_Shift[[Rating]:[Rating]],0,0),IF(_xlpm.Fin-_xlpm.Init&lt;0,_xlfn.XLOOKUP(MAX(0,_xlpm.X-1),Exp_Shift[[Number]:[Number]],Exp_Shift[[Rating]:[Rating]],0,0),T77)))</f>
        <v>H</v>
      </c>
      <c r="U123" t="str" cm="1">
        <f t="array" ref="U123">_xlfn.LET(_xlpm.Fin,_xlfn.XLOOKUP(N123,Exp_Shift[[Rating]:[Rating]],Exp_Shift[[Number]:[Number]],0,0),_xlpm.Init,_xlfn.XLOOKUP(N77,Exp_Shift[[Rating]:[Rating]],Exp_Shift[[Number]:[Number]],0,0),_xlpm.X,_xlfn.XLOOKUP(U77,Exp_Shift[[Rating]:[Rating]],Exp_Shift[[Number]:[Number]],0,0), IF(_xlpm.Fin-_xlpm.Init&gt;0, _xlfn.XLOOKUP(MIN(4,_xlpm.X+_xlpm.Fin-_xlpm.Init),Exp_Shift[[Number]:[Number]],Exp_Shift[[Rating]:[Rating]],0,0),IF(_xlpm.Fin-_xlpm.Init&lt;0,_xlfn.XLOOKUP(MAX(0,_xlpm.X-1),Exp_Shift[[Number]:[Number]],Exp_Shift[[Rating]:[Rating]],0,0),U77)))</f>
        <v>H</v>
      </c>
      <c r="V123" t="str" cm="1">
        <f t="array" ref="V123">_xlfn.LET(_xlpm.Fin,_xlfn.XLOOKUP(O123,Exp_Shift[[Rating]:[Rating]],Exp_Shift[[Number]:[Number]],0,0),_xlpm.Init,_xlfn.XLOOKUP(O77,Exp_Shift[[Rating]:[Rating]],Exp_Shift[[Number]:[Number]],0,0),_xlpm.X,_xlfn.XLOOKUP(V77,Exp_Shift[[Rating]:[Rating]],Exp_Shift[[Number]:[Number]],0,0), IF(_xlpm.Fin-_xlpm.Init&gt;0, _xlfn.XLOOKUP(MIN(4,_xlpm.X+_xlpm.Fin-_xlpm.Init),Exp_Shift[[Number]:[Number]],Exp_Shift[[Rating]:[Rating]],0,0),IF(_xlpm.Fin-_xlpm.Init&lt;0,_xlfn.XLOOKUP(MAX(0,_xlpm.X-1),Exp_Shift[[Number]:[Number]],Exp_Shift[[Rating]:[Rating]],0,0),V77)))</f>
        <v>E</v>
      </c>
      <c r="W123" t="str" cm="1">
        <f t="array" ref="W123">_xlfn.LET(_xlpm.Fin,_xlfn.XLOOKUP(P123,Exp_Shift[[Rating]:[Rating]],Exp_Shift[[Number]:[Number]],0,0),_xlpm.Init,_xlfn.XLOOKUP(P77,Exp_Shift[[Rating]:[Rating]],Exp_Shift[[Number]:[Number]],0,0),_xlpm.X,_xlfn.XLOOKUP(W77,Exp_Shift[[Rating]:[Rating]],Exp_Shift[[Number]:[Number]],0,0), IF(_xlpm.Fin-_xlpm.Init&gt;0, _xlfn.XLOOKUP(MIN(4,_xlpm.X+_xlpm.Fin-_xlpm.Init),Exp_Shift[[Number]:[Number]],Exp_Shift[[Rating]:[Rating]],0,0),IF(_xlpm.Fin-_xlpm.Init&lt;0,_xlfn.XLOOKUP(MAX(0,_xlpm.X-1),Exp_Shift[[Number]:[Number]],Exp_Shift[[Rating]:[Rating]],0,0),W77)))</f>
        <v>H</v>
      </c>
      <c r="X123" s="19" t="str" cm="1">
        <f t="array" ref="X123">_xlfn.LET(_xlpm.Fin,_xlfn.XLOOKUP(Q123,Exp_Shift[[Rating]:[Rating]],Exp_Shift[[Number]:[Number]],0,0),_xlpm.Init,_xlfn.XLOOKUP(Q77,Exp_Shift[[Rating]:[Rating]],Exp_Shift[[Number]:[Number]],0,0),_xlpm.X,_xlfn.XLOOKUP(X77,Exp_Shift[[Rating]:[Rating]],Exp_Shift[[Number]:[Number]],0,0), IF(_xlpm.Fin-_xlpm.Init&gt;0, _xlfn.XLOOKUP(MIN(4,_xlpm.X+_xlpm.Fin-_xlpm.Init),Exp_Shift[[Number]:[Number]],Exp_Shift[[Rating]:[Rating]],0,0),IF(_xlpm.Fin-_xlpm.Init&lt;0,_xlfn.XLOOKUP(MAX(0,_xlpm.X-1),Exp_Shift[[Number]:[Number]],Exp_Shift[[Rating]:[Rating]],0,0),X77)))</f>
        <v>E</v>
      </c>
      <c r="Y123" s="23" t="str" cm="1">
        <f t="array" ref="Y123">_xlfn.LET(_xlpm.Fin,_xlfn.XLOOKUP(K123,Exp_Shift[[Rating]:[Rating]],Exp_Shift[[Number]:[Number]],0,0),_xlpm.Init,_xlfn.XLOOKUP(K77,Exp_Shift[[Rating]:[Rating]],Exp_Shift[[Number]:[Number]],0,0),_xlpm.X,_xlfn.XLOOKUP(Y77,Exp_Shift[[Rating]:[Rating]],Exp_Shift[[Number]:[Number]],0,0), IF(_xlpm.Fin-_xlpm.Init&gt;0, _xlfn.XLOOKUP(MIN(4,_xlpm.X+1),Exp_Shift[[Number]:[Number]],Exp_Shift[[Rating]:[Rating]],0,0),IF(_xlpm.Fin-_xlpm.Init&lt;0,_xlfn.XLOOKUP(MAX(0,_xlpm.X),Exp_Shift[[Number]:[Number]],Exp_Shift[[Rating]:[Rating]],0,0),Y77)))</f>
        <v>H</v>
      </c>
      <c r="Z123" t="str" cm="1">
        <f t="array" ref="Z123">_xlfn.LET(_xlpm.Fin,_xlfn.XLOOKUP(L123,Exp_Shift[[Rating]:[Rating]],Exp_Shift[[Number]:[Number]],0,0),_xlpm.Init,_xlfn.XLOOKUP(L77,Exp_Shift[[Rating]:[Rating]],Exp_Shift[[Number]:[Number]],0,0),_xlpm.X,_xlfn.XLOOKUP(Z77,Exp_Shift[[Rating]:[Rating]],Exp_Shift[[Number]:[Number]],0,0), IF(_xlpm.Fin-_xlpm.Init&gt;0, _xlfn.XLOOKUP(MIN(4,_xlpm.X+1),Exp_Shift[[Number]:[Number]],Exp_Shift[[Rating]:[Rating]],0,0),IF(_xlpm.Fin-_xlpm.Init&lt;0,_xlfn.XLOOKUP(MAX(0,_xlpm.X),Exp_Shift[[Number]:[Number]],Exp_Shift[[Rating]:[Rating]],0,0),Z77)))</f>
        <v>H</v>
      </c>
      <c r="AA123" t="str" cm="1">
        <f t="array" ref="AA123">_xlfn.LET(_xlpm.Fin,_xlfn.XLOOKUP(M123,Exp_Shift[[Rating]:[Rating]],Exp_Shift[[Number]:[Number]],0,0),_xlpm.Init,_xlfn.XLOOKUP(M77,Exp_Shift[[Rating]:[Rating]],Exp_Shift[[Number]:[Number]],0,0),_xlpm.X,_xlfn.XLOOKUP(AA77,Exp_Shift[[Rating]:[Rating]],Exp_Shift[[Number]:[Number]],0,0), IF(_xlpm.Fin-_xlpm.Init&gt;0, _xlfn.XLOOKUP(MIN(4,_xlpm.X+1),Exp_Shift[[Number]:[Number]],Exp_Shift[[Rating]:[Rating]],0,0),IF(_xlpm.Fin-_xlpm.Init&lt;0,_xlfn.XLOOKUP(MAX(0,_xlpm.X),Exp_Shift[[Number]:[Number]],Exp_Shift[[Rating]:[Rating]],0,0),AA77)))</f>
        <v>E</v>
      </c>
      <c r="AB123" t="str" cm="1">
        <f t="array" ref="AB123">_xlfn.LET(_xlpm.Fin,_xlfn.XLOOKUP(N123,Exp_Shift[[Rating]:[Rating]],Exp_Shift[[Number]:[Number]],0,0),_xlpm.Init,_xlfn.XLOOKUP(N77,Exp_Shift[[Rating]:[Rating]],Exp_Shift[[Number]:[Number]],0,0),_xlpm.X,_xlfn.XLOOKUP(AB77,Exp_Shift[[Rating]:[Rating]],Exp_Shift[[Number]:[Number]],0,0), IF(_xlpm.Fin-_xlpm.Init&gt;0, _xlfn.XLOOKUP(MIN(4,_xlpm.X+1),Exp_Shift[[Number]:[Number]],Exp_Shift[[Rating]:[Rating]],0,0),IF(_xlpm.Fin-_xlpm.Init&lt;0,_xlfn.XLOOKUP(MAX(0,_xlpm.X),Exp_Shift[[Number]:[Number]],Exp_Shift[[Rating]:[Rating]],0,0),AB77)))</f>
        <v>M</v>
      </c>
      <c r="AC123" t="str" cm="1">
        <f t="array" ref="AC123">_xlfn.LET(_xlpm.Fin,_xlfn.XLOOKUP(O123,Exp_Shift[[Rating]:[Rating]],Exp_Shift[[Number]:[Number]],0,0),_xlpm.Init,_xlfn.XLOOKUP(O77,Exp_Shift[[Rating]:[Rating]],Exp_Shift[[Number]:[Number]],0,0),_xlpm.X,_xlfn.XLOOKUP(AC77,Exp_Shift[[Rating]:[Rating]],Exp_Shift[[Number]:[Number]],0,0), IF(_xlpm.Fin-_xlpm.Init&gt;0, _xlfn.XLOOKUP(MIN(4,_xlpm.X+1),Exp_Shift[[Number]:[Number]],Exp_Shift[[Rating]:[Rating]],0,0),IF(_xlpm.Fin-_xlpm.Init&lt;0,_xlfn.XLOOKUP(MAX(0,_xlpm.X),Exp_Shift[[Number]:[Number]],Exp_Shift[[Rating]:[Rating]],0,0),AC77)))</f>
        <v>H</v>
      </c>
      <c r="AD123" t="str" cm="1">
        <f t="array" ref="AD123">_xlfn.LET(_xlpm.Fin,_xlfn.XLOOKUP(P123,Exp_Shift[[Rating]:[Rating]],Exp_Shift[[Number]:[Number]],0,0),_xlpm.Init,_xlfn.XLOOKUP(P77,Exp_Shift[[Rating]:[Rating]],Exp_Shift[[Number]:[Number]],0,0),_xlpm.X,_xlfn.XLOOKUP(AD77,Exp_Shift[[Rating]:[Rating]],Exp_Shift[[Number]:[Number]],0,0), IF(_xlpm.Fin-_xlpm.Init&gt;0, _xlfn.XLOOKUP(MIN(4,_xlpm.X+1),Exp_Shift[[Number]:[Number]],Exp_Shift[[Rating]:[Rating]],0,0),IF(_xlpm.Fin-_xlpm.Init&lt;0,_xlfn.XLOOKUP(MAX(0,_xlpm.X),Exp_Shift[[Number]:[Number]],Exp_Shift[[Rating]:[Rating]],0,0),AD77)))</f>
        <v>H</v>
      </c>
      <c r="AE123" s="27" t="str" cm="1">
        <f t="array" ref="AE123">_xlfn.LET(_xlpm.Fin,_xlfn.XLOOKUP(Q123,Exp_Shift[[Rating]:[Rating]],Exp_Shift[[Number]:[Number]],0,0),_xlpm.Init,_xlfn.XLOOKUP(Q77,Exp_Shift[[Rating]:[Rating]],Exp_Shift[[Number]:[Number]],0,0),_xlpm.X,_xlfn.XLOOKUP(AE77,Exp_Shift[[Rating]:[Rating]],Exp_Shift[[Number]:[Number]],0,0), IF(_xlpm.Fin-_xlpm.Init&gt;0, _xlfn.XLOOKUP(MIN(4,_xlpm.X+1),Exp_Shift[[Number]:[Number]],Exp_Shift[[Rating]:[Rating]],0,0),IF(_xlpm.Fin-_xlpm.Init&lt;0,_xlfn.XLOOKUP(MAX(0,_xlpm.X),Exp_Shift[[Number]:[Number]],Exp_Shift[[Rating]:[Rating]],0,0),AE77)))</f>
        <v>H</v>
      </c>
    </row>
    <row r="124" spans="8:31" ht="18" x14ac:dyDescent="0.35">
      <c r="H124" s="26">
        <v>67</v>
      </c>
      <c r="I124" s="332" t="s">
        <v>46</v>
      </c>
      <c r="J124" s="328" t="s">
        <v>221</v>
      </c>
      <c r="K124" s="23" t="str" cm="1">
        <f t="array" ref="K124">_xlfn.SWITCH(K101,"N/A","L","L","M","M","H","H","E","E","N/A")</f>
        <v>E</v>
      </c>
      <c r="L124" t="str" cm="1">
        <f t="array" ref="L124">_xlfn.SWITCH(L101,"N/A","L","L","M","M","H","H","E","E","N/A")</f>
        <v>H</v>
      </c>
      <c r="M124" t="str" cm="1">
        <f t="array" ref="M124">_xlfn.SWITCH(M101,"N/A","L","L","M","M","H","H","E","E","N/A")</f>
        <v>E</v>
      </c>
      <c r="N124" t="str" cm="1">
        <f t="array" ref="N124">_xlfn.SWITCH(N101,"N/A","L","L","M","M","H","H","E","E","N/A")</f>
        <v>E</v>
      </c>
      <c r="O124" t="str" cm="1">
        <f t="array" ref="O124">_xlfn.SWITCH(O101,"N/A","L","L","M","M","H","H","E","E","N/A")</f>
        <v>M</v>
      </c>
      <c r="P124" t="str" cm="1">
        <f t="array" ref="P124">_xlfn.SWITCH(P101,"N/A","L","L","M","M","H","H","E","E","N/A")</f>
        <v>M</v>
      </c>
      <c r="Q124" s="19" t="str" cm="1">
        <f t="array" ref="Q124">_xlfn.SWITCH(Q101,"N/A","L","L","M","M","H","H","E","E","N/A")</f>
        <v>E</v>
      </c>
      <c r="R124" s="23" t="str" cm="1">
        <f t="array" ref="R124">_xlfn.LET(_xlpm.Fin,_xlfn.XLOOKUP(K124,Exp_Shift[[Rating]:[Rating]],Exp_Shift[[Number]:[Number]],0,0),_xlpm.Init,_xlfn.XLOOKUP(K78,Exp_Shift[[Rating]:[Rating]],Exp_Shift[[Number]:[Number]],0,0),_xlpm.X,_xlfn.XLOOKUP(R78,Exp_Shift[[Rating]:[Rating]],Exp_Shift[[Number]:[Number]],0,0), IF(_xlpm.Fin-_xlpm.Init&gt;0, _xlfn.XLOOKUP(MIN(4,_xlpm.X+_xlpm.Fin-_xlpm.Init),Exp_Shift[[Number]:[Number]],Exp_Shift[[Rating]:[Rating]],0,0),IF(_xlpm.Fin-_xlpm.Init&lt;0,_xlfn.XLOOKUP(MAX(0,_xlpm.X-1),Exp_Shift[[Number]:[Number]],Exp_Shift[[Rating]:[Rating]],0,0),R78)))</f>
        <v>E</v>
      </c>
      <c r="S124" t="str" cm="1">
        <f t="array" ref="S124">_xlfn.LET(_xlpm.Fin,_xlfn.XLOOKUP(L124,Exp_Shift[[Rating]:[Rating]],Exp_Shift[[Number]:[Number]],0,0),_xlpm.Init,_xlfn.XLOOKUP(L78,Exp_Shift[[Rating]:[Rating]],Exp_Shift[[Number]:[Number]],0,0),_xlpm.X,_xlfn.XLOOKUP(S78,Exp_Shift[[Rating]:[Rating]],Exp_Shift[[Number]:[Number]],0,0), IF(_xlpm.Fin-_xlpm.Init&gt;0, _xlfn.XLOOKUP(MIN(4,_xlpm.X+_xlpm.Fin-_xlpm.Init),Exp_Shift[[Number]:[Number]],Exp_Shift[[Rating]:[Rating]],0,0),IF(_xlpm.Fin-_xlpm.Init&lt;0,_xlfn.XLOOKUP(MAX(0,_xlpm.X-1),Exp_Shift[[Number]:[Number]],Exp_Shift[[Rating]:[Rating]],0,0),S78)))</f>
        <v>E</v>
      </c>
      <c r="T124" t="str" cm="1">
        <f t="array" ref="T124">_xlfn.LET(_xlpm.Fin,_xlfn.XLOOKUP(M124,Exp_Shift[[Rating]:[Rating]],Exp_Shift[[Number]:[Number]],0,0),_xlpm.Init,_xlfn.XLOOKUP(M78,Exp_Shift[[Rating]:[Rating]],Exp_Shift[[Number]:[Number]],0,0),_xlpm.X,_xlfn.XLOOKUP(T78,Exp_Shift[[Rating]:[Rating]],Exp_Shift[[Number]:[Number]],0,0), IF(_xlpm.Fin-_xlpm.Init&gt;0, _xlfn.XLOOKUP(MIN(4,_xlpm.X+_xlpm.Fin-_xlpm.Init),Exp_Shift[[Number]:[Number]],Exp_Shift[[Rating]:[Rating]],0,0),IF(_xlpm.Fin-_xlpm.Init&lt;0,_xlfn.XLOOKUP(MAX(0,_xlpm.X-1),Exp_Shift[[Number]:[Number]],Exp_Shift[[Rating]:[Rating]],0,0),T78)))</f>
        <v>E</v>
      </c>
      <c r="U124" t="str" cm="1">
        <f t="array" ref="U124">_xlfn.LET(_xlpm.Fin,_xlfn.XLOOKUP(N124,Exp_Shift[[Rating]:[Rating]],Exp_Shift[[Number]:[Number]],0,0),_xlpm.Init,_xlfn.XLOOKUP(N78,Exp_Shift[[Rating]:[Rating]],Exp_Shift[[Number]:[Number]],0,0),_xlpm.X,_xlfn.XLOOKUP(U78,Exp_Shift[[Rating]:[Rating]],Exp_Shift[[Number]:[Number]],0,0), IF(_xlpm.Fin-_xlpm.Init&gt;0, _xlfn.XLOOKUP(MIN(4,_xlpm.X+_xlpm.Fin-_xlpm.Init),Exp_Shift[[Number]:[Number]],Exp_Shift[[Rating]:[Rating]],0,0),IF(_xlpm.Fin-_xlpm.Init&lt;0,_xlfn.XLOOKUP(MAX(0,_xlpm.X-1),Exp_Shift[[Number]:[Number]],Exp_Shift[[Rating]:[Rating]],0,0),U78)))</f>
        <v>E</v>
      </c>
      <c r="V124" t="str" cm="1">
        <f t="array" ref="V124">_xlfn.LET(_xlpm.Fin,_xlfn.XLOOKUP(O124,Exp_Shift[[Rating]:[Rating]],Exp_Shift[[Number]:[Number]],0,0),_xlpm.Init,_xlfn.XLOOKUP(O78,Exp_Shift[[Rating]:[Rating]],Exp_Shift[[Number]:[Number]],0,0),_xlpm.X,_xlfn.XLOOKUP(V78,Exp_Shift[[Rating]:[Rating]],Exp_Shift[[Number]:[Number]],0,0), IF(_xlpm.Fin-_xlpm.Init&gt;0, _xlfn.XLOOKUP(MIN(4,_xlpm.X+_xlpm.Fin-_xlpm.Init),Exp_Shift[[Number]:[Number]],Exp_Shift[[Rating]:[Rating]],0,0),IF(_xlpm.Fin-_xlpm.Init&lt;0,_xlfn.XLOOKUP(MAX(0,_xlpm.X-1),Exp_Shift[[Number]:[Number]],Exp_Shift[[Rating]:[Rating]],0,0),V78)))</f>
        <v>M</v>
      </c>
      <c r="W124" t="str" cm="1">
        <f t="array" ref="W124">_xlfn.LET(_xlpm.Fin,_xlfn.XLOOKUP(P124,Exp_Shift[[Rating]:[Rating]],Exp_Shift[[Number]:[Number]],0,0),_xlpm.Init,_xlfn.XLOOKUP(P78,Exp_Shift[[Rating]:[Rating]],Exp_Shift[[Number]:[Number]],0,0),_xlpm.X,_xlfn.XLOOKUP(W78,Exp_Shift[[Rating]:[Rating]],Exp_Shift[[Number]:[Number]],0,0), IF(_xlpm.Fin-_xlpm.Init&gt;0, _xlfn.XLOOKUP(MIN(4,_xlpm.X+_xlpm.Fin-_xlpm.Init),Exp_Shift[[Number]:[Number]],Exp_Shift[[Rating]:[Rating]],0,0),IF(_xlpm.Fin-_xlpm.Init&lt;0,_xlfn.XLOOKUP(MAX(0,_xlpm.X-1),Exp_Shift[[Number]:[Number]],Exp_Shift[[Rating]:[Rating]],0,0),W78)))</f>
        <v>M</v>
      </c>
      <c r="X124" s="19" t="str" cm="1">
        <f t="array" ref="X124">_xlfn.LET(_xlpm.Fin,_xlfn.XLOOKUP(Q124,Exp_Shift[[Rating]:[Rating]],Exp_Shift[[Number]:[Number]],0,0),_xlpm.Init,_xlfn.XLOOKUP(Q78,Exp_Shift[[Rating]:[Rating]],Exp_Shift[[Number]:[Number]],0,0),_xlpm.X,_xlfn.XLOOKUP(X78,Exp_Shift[[Rating]:[Rating]],Exp_Shift[[Number]:[Number]],0,0), IF(_xlpm.Fin-_xlpm.Init&gt;0, _xlfn.XLOOKUP(MIN(4,_xlpm.X+_xlpm.Fin-_xlpm.Init),Exp_Shift[[Number]:[Number]],Exp_Shift[[Rating]:[Rating]],0,0),IF(_xlpm.Fin-_xlpm.Init&lt;0,_xlfn.XLOOKUP(MAX(0,_xlpm.X-1),Exp_Shift[[Number]:[Number]],Exp_Shift[[Rating]:[Rating]],0,0),X78)))</f>
        <v>E</v>
      </c>
      <c r="Y124" s="23" t="str" cm="1">
        <f t="array" ref="Y124">_xlfn.LET(_xlpm.Fin,_xlfn.XLOOKUP(K124,Exp_Shift[[Rating]:[Rating]],Exp_Shift[[Number]:[Number]],0,0),_xlpm.Init,_xlfn.XLOOKUP(K78,Exp_Shift[[Rating]:[Rating]],Exp_Shift[[Number]:[Number]],0,0),_xlpm.X,_xlfn.XLOOKUP(Y78,Exp_Shift[[Rating]:[Rating]],Exp_Shift[[Number]:[Number]],0,0), IF(_xlpm.Fin-_xlpm.Init&gt;0, _xlfn.XLOOKUP(MIN(4,_xlpm.X+1),Exp_Shift[[Number]:[Number]],Exp_Shift[[Rating]:[Rating]],0,0),IF(_xlpm.Fin-_xlpm.Init&lt;0,_xlfn.XLOOKUP(MAX(0,_xlpm.X),Exp_Shift[[Number]:[Number]],Exp_Shift[[Rating]:[Rating]],0,0),Y78)))</f>
        <v>E</v>
      </c>
      <c r="Z124" t="str" cm="1">
        <f t="array" ref="Z124">_xlfn.LET(_xlpm.Fin,_xlfn.XLOOKUP(L124,Exp_Shift[[Rating]:[Rating]],Exp_Shift[[Number]:[Number]],0,0),_xlpm.Init,_xlfn.XLOOKUP(L78,Exp_Shift[[Rating]:[Rating]],Exp_Shift[[Number]:[Number]],0,0),_xlpm.X,_xlfn.XLOOKUP(Z78,Exp_Shift[[Rating]:[Rating]],Exp_Shift[[Number]:[Number]],0,0), IF(_xlpm.Fin-_xlpm.Init&gt;0, _xlfn.XLOOKUP(MIN(4,_xlpm.X+1),Exp_Shift[[Number]:[Number]],Exp_Shift[[Rating]:[Rating]],0,0),IF(_xlpm.Fin-_xlpm.Init&lt;0,_xlfn.XLOOKUP(MAX(0,_xlpm.X),Exp_Shift[[Number]:[Number]],Exp_Shift[[Rating]:[Rating]],0,0),Z78)))</f>
        <v>E</v>
      </c>
      <c r="AA124" t="str" cm="1">
        <f t="array" ref="AA124">_xlfn.LET(_xlpm.Fin,_xlfn.XLOOKUP(M124,Exp_Shift[[Rating]:[Rating]],Exp_Shift[[Number]:[Number]],0,0),_xlpm.Init,_xlfn.XLOOKUP(M78,Exp_Shift[[Rating]:[Rating]],Exp_Shift[[Number]:[Number]],0,0),_xlpm.X,_xlfn.XLOOKUP(AA78,Exp_Shift[[Rating]:[Rating]],Exp_Shift[[Number]:[Number]],0,0), IF(_xlpm.Fin-_xlpm.Init&gt;0, _xlfn.XLOOKUP(MIN(4,_xlpm.X+1),Exp_Shift[[Number]:[Number]],Exp_Shift[[Rating]:[Rating]],0,0),IF(_xlpm.Fin-_xlpm.Init&lt;0,_xlfn.XLOOKUP(MAX(0,_xlpm.X),Exp_Shift[[Number]:[Number]],Exp_Shift[[Rating]:[Rating]],0,0),AA78)))</f>
        <v>E</v>
      </c>
      <c r="AB124" t="str" cm="1">
        <f t="array" ref="AB124">_xlfn.LET(_xlpm.Fin,_xlfn.XLOOKUP(N124,Exp_Shift[[Rating]:[Rating]],Exp_Shift[[Number]:[Number]],0,0),_xlpm.Init,_xlfn.XLOOKUP(N78,Exp_Shift[[Rating]:[Rating]],Exp_Shift[[Number]:[Number]],0,0),_xlpm.X,_xlfn.XLOOKUP(AB78,Exp_Shift[[Rating]:[Rating]],Exp_Shift[[Number]:[Number]],0,0), IF(_xlpm.Fin-_xlpm.Init&gt;0, _xlfn.XLOOKUP(MIN(4,_xlpm.X+1),Exp_Shift[[Number]:[Number]],Exp_Shift[[Rating]:[Rating]],0,0),IF(_xlpm.Fin-_xlpm.Init&lt;0,_xlfn.XLOOKUP(MAX(0,_xlpm.X),Exp_Shift[[Number]:[Number]],Exp_Shift[[Rating]:[Rating]],0,0),AB78)))</f>
        <v>E</v>
      </c>
      <c r="AC124" t="str" cm="1">
        <f t="array" ref="AC124">_xlfn.LET(_xlpm.Fin,_xlfn.XLOOKUP(O124,Exp_Shift[[Rating]:[Rating]],Exp_Shift[[Number]:[Number]],0,0),_xlpm.Init,_xlfn.XLOOKUP(O78,Exp_Shift[[Rating]:[Rating]],Exp_Shift[[Number]:[Number]],0,0),_xlpm.X,_xlfn.XLOOKUP(AC78,Exp_Shift[[Rating]:[Rating]],Exp_Shift[[Number]:[Number]],0,0), IF(_xlpm.Fin-_xlpm.Init&gt;0, _xlfn.XLOOKUP(MIN(4,_xlpm.X+1),Exp_Shift[[Number]:[Number]],Exp_Shift[[Rating]:[Rating]],0,0),IF(_xlpm.Fin-_xlpm.Init&lt;0,_xlfn.XLOOKUP(MAX(0,_xlpm.X),Exp_Shift[[Number]:[Number]],Exp_Shift[[Rating]:[Rating]],0,0),AC78)))</f>
        <v>L</v>
      </c>
      <c r="AD124" t="str" cm="1">
        <f t="array" ref="AD124">_xlfn.LET(_xlpm.Fin,_xlfn.XLOOKUP(P124,Exp_Shift[[Rating]:[Rating]],Exp_Shift[[Number]:[Number]],0,0),_xlpm.Init,_xlfn.XLOOKUP(P78,Exp_Shift[[Rating]:[Rating]],Exp_Shift[[Number]:[Number]],0,0),_xlpm.X,_xlfn.XLOOKUP(AD78,Exp_Shift[[Rating]:[Rating]],Exp_Shift[[Number]:[Number]],0,0), IF(_xlpm.Fin-_xlpm.Init&gt;0, _xlfn.XLOOKUP(MIN(4,_xlpm.X+1),Exp_Shift[[Number]:[Number]],Exp_Shift[[Rating]:[Rating]],0,0),IF(_xlpm.Fin-_xlpm.Init&lt;0,_xlfn.XLOOKUP(MAX(0,_xlpm.X),Exp_Shift[[Number]:[Number]],Exp_Shift[[Rating]:[Rating]],0,0),AD78)))</f>
        <v>L</v>
      </c>
      <c r="AE124" s="27" t="str" cm="1">
        <f t="array" ref="AE124">_xlfn.LET(_xlpm.Fin,_xlfn.XLOOKUP(Q124,Exp_Shift[[Rating]:[Rating]],Exp_Shift[[Number]:[Number]],0,0),_xlpm.Init,_xlfn.XLOOKUP(Q78,Exp_Shift[[Rating]:[Rating]],Exp_Shift[[Number]:[Number]],0,0),_xlpm.X,_xlfn.XLOOKUP(AE78,Exp_Shift[[Rating]:[Rating]],Exp_Shift[[Number]:[Number]],0,0), IF(_xlpm.Fin-_xlpm.Init&gt;0, _xlfn.XLOOKUP(MIN(4,_xlpm.X+1),Exp_Shift[[Number]:[Number]],Exp_Shift[[Rating]:[Rating]],0,0),IF(_xlpm.Fin-_xlpm.Init&lt;0,_xlfn.XLOOKUP(MAX(0,_xlpm.X),Exp_Shift[[Number]:[Number]],Exp_Shift[[Rating]:[Rating]],0,0),AE78)))</f>
        <v>E</v>
      </c>
    </row>
    <row r="125" spans="8:31" ht="18" x14ac:dyDescent="0.35">
      <c r="H125" s="26">
        <v>68</v>
      </c>
      <c r="I125" s="332" t="s">
        <v>46</v>
      </c>
      <c r="J125" s="328" t="s">
        <v>219</v>
      </c>
      <c r="K125" s="23" t="str" cm="1">
        <f t="array" ref="K125">_xlfn.SWITCH(K102,"N/A","L","L","M","M","H","H","E","E","N/A")</f>
        <v>E</v>
      </c>
      <c r="L125" t="str" cm="1">
        <f t="array" ref="L125">_xlfn.SWITCH(L102,"N/A","L","L","M","M","H","H","E","E","N/A")</f>
        <v>H</v>
      </c>
      <c r="M125" t="str" cm="1">
        <f t="array" ref="M125">_xlfn.SWITCH(M102,"N/A","L","L","M","M","H","H","E","E","N/A")</f>
        <v>E</v>
      </c>
      <c r="N125" t="str" cm="1">
        <f t="array" ref="N125">_xlfn.SWITCH(N102,"N/A","L","L","M","M","H","H","E","E","N/A")</f>
        <v>H</v>
      </c>
      <c r="O125" t="str" cm="1">
        <f t="array" ref="O125">_xlfn.SWITCH(O102,"N/A","L","L","M","M","H","H","E","E","N/A")</f>
        <v>E</v>
      </c>
      <c r="P125" t="str" cm="1">
        <f t="array" ref="P125">_xlfn.SWITCH(P102,"N/A","L","L","M","M","H","H","E","E","N/A")</f>
        <v>H</v>
      </c>
      <c r="Q125" s="19" t="str" cm="1">
        <f t="array" ref="Q125">_xlfn.SWITCH(Q102,"N/A","L","L","M","M","H","H","E","E","N/A")</f>
        <v>E</v>
      </c>
      <c r="R125" s="23" t="str" cm="1">
        <f t="array" ref="R125">_xlfn.LET(_xlpm.Fin,_xlfn.XLOOKUP(K125,Exp_Shift[[Rating]:[Rating]],Exp_Shift[[Number]:[Number]],0,0),_xlpm.Init,_xlfn.XLOOKUP(K79,Exp_Shift[[Rating]:[Rating]],Exp_Shift[[Number]:[Number]],0,0),_xlpm.X,_xlfn.XLOOKUP(R79,Exp_Shift[[Rating]:[Rating]],Exp_Shift[[Number]:[Number]],0,0), IF(_xlpm.Fin-_xlpm.Init&gt;0, _xlfn.XLOOKUP(MIN(4,_xlpm.X+_xlpm.Fin-_xlpm.Init),Exp_Shift[[Number]:[Number]],Exp_Shift[[Rating]:[Rating]],0,0),IF(_xlpm.Fin-_xlpm.Init&lt;0,_xlfn.XLOOKUP(MAX(0,_xlpm.X-1),Exp_Shift[[Number]:[Number]],Exp_Shift[[Rating]:[Rating]],0,0),R79)))</f>
        <v>E</v>
      </c>
      <c r="S125" t="str" cm="1">
        <f t="array" ref="S125">_xlfn.LET(_xlpm.Fin,_xlfn.XLOOKUP(L125,Exp_Shift[[Rating]:[Rating]],Exp_Shift[[Number]:[Number]],0,0),_xlpm.Init,_xlfn.XLOOKUP(L79,Exp_Shift[[Rating]:[Rating]],Exp_Shift[[Number]:[Number]],0,0),_xlpm.X,_xlfn.XLOOKUP(S79,Exp_Shift[[Rating]:[Rating]],Exp_Shift[[Number]:[Number]],0,0), IF(_xlpm.Fin-_xlpm.Init&gt;0, _xlfn.XLOOKUP(MIN(4,_xlpm.X+_xlpm.Fin-_xlpm.Init),Exp_Shift[[Number]:[Number]],Exp_Shift[[Rating]:[Rating]],0,0),IF(_xlpm.Fin-_xlpm.Init&lt;0,_xlfn.XLOOKUP(MAX(0,_xlpm.X-1),Exp_Shift[[Number]:[Number]],Exp_Shift[[Rating]:[Rating]],0,0),S79)))</f>
        <v>E</v>
      </c>
      <c r="T125" t="str" cm="1">
        <f t="array" ref="T125">_xlfn.LET(_xlpm.Fin,_xlfn.XLOOKUP(M125,Exp_Shift[[Rating]:[Rating]],Exp_Shift[[Number]:[Number]],0,0),_xlpm.Init,_xlfn.XLOOKUP(M79,Exp_Shift[[Rating]:[Rating]],Exp_Shift[[Number]:[Number]],0,0),_xlpm.X,_xlfn.XLOOKUP(T79,Exp_Shift[[Rating]:[Rating]],Exp_Shift[[Number]:[Number]],0,0), IF(_xlpm.Fin-_xlpm.Init&gt;0, _xlfn.XLOOKUP(MIN(4,_xlpm.X+_xlpm.Fin-_xlpm.Init),Exp_Shift[[Number]:[Number]],Exp_Shift[[Rating]:[Rating]],0,0),IF(_xlpm.Fin-_xlpm.Init&lt;0,_xlfn.XLOOKUP(MAX(0,_xlpm.X-1),Exp_Shift[[Number]:[Number]],Exp_Shift[[Rating]:[Rating]],0,0),T79)))</f>
        <v>E</v>
      </c>
      <c r="U125" t="str" cm="1">
        <f t="array" ref="U125">_xlfn.LET(_xlpm.Fin,_xlfn.XLOOKUP(N125,Exp_Shift[[Rating]:[Rating]],Exp_Shift[[Number]:[Number]],0,0),_xlpm.Init,_xlfn.XLOOKUP(N79,Exp_Shift[[Rating]:[Rating]],Exp_Shift[[Number]:[Number]],0,0),_xlpm.X,_xlfn.XLOOKUP(U79,Exp_Shift[[Rating]:[Rating]],Exp_Shift[[Number]:[Number]],0,0), IF(_xlpm.Fin-_xlpm.Init&gt;0, _xlfn.XLOOKUP(MIN(4,_xlpm.X+_xlpm.Fin-_xlpm.Init),Exp_Shift[[Number]:[Number]],Exp_Shift[[Rating]:[Rating]],0,0),IF(_xlpm.Fin-_xlpm.Init&lt;0,_xlfn.XLOOKUP(MAX(0,_xlpm.X-1),Exp_Shift[[Number]:[Number]],Exp_Shift[[Rating]:[Rating]],0,0),U79)))</f>
        <v>H</v>
      </c>
      <c r="V125" t="str" cm="1">
        <f t="array" ref="V125">_xlfn.LET(_xlpm.Fin,_xlfn.XLOOKUP(O125,Exp_Shift[[Rating]:[Rating]],Exp_Shift[[Number]:[Number]],0,0),_xlpm.Init,_xlfn.XLOOKUP(O79,Exp_Shift[[Rating]:[Rating]],Exp_Shift[[Number]:[Number]],0,0),_xlpm.X,_xlfn.XLOOKUP(V79,Exp_Shift[[Rating]:[Rating]],Exp_Shift[[Number]:[Number]],0,0), IF(_xlpm.Fin-_xlpm.Init&gt;0, _xlfn.XLOOKUP(MIN(4,_xlpm.X+_xlpm.Fin-_xlpm.Init),Exp_Shift[[Number]:[Number]],Exp_Shift[[Rating]:[Rating]],0,0),IF(_xlpm.Fin-_xlpm.Init&lt;0,_xlfn.XLOOKUP(MAX(0,_xlpm.X-1),Exp_Shift[[Number]:[Number]],Exp_Shift[[Rating]:[Rating]],0,0),V79)))</f>
        <v>E</v>
      </c>
      <c r="W125" t="str" cm="1">
        <f t="array" ref="W125">_xlfn.LET(_xlpm.Fin,_xlfn.XLOOKUP(P125,Exp_Shift[[Rating]:[Rating]],Exp_Shift[[Number]:[Number]],0,0),_xlpm.Init,_xlfn.XLOOKUP(P79,Exp_Shift[[Rating]:[Rating]],Exp_Shift[[Number]:[Number]],0,0),_xlpm.X,_xlfn.XLOOKUP(W79,Exp_Shift[[Rating]:[Rating]],Exp_Shift[[Number]:[Number]],0,0), IF(_xlpm.Fin-_xlpm.Init&gt;0, _xlfn.XLOOKUP(MIN(4,_xlpm.X+_xlpm.Fin-_xlpm.Init),Exp_Shift[[Number]:[Number]],Exp_Shift[[Rating]:[Rating]],0,0),IF(_xlpm.Fin-_xlpm.Init&lt;0,_xlfn.XLOOKUP(MAX(0,_xlpm.X-1),Exp_Shift[[Number]:[Number]],Exp_Shift[[Rating]:[Rating]],0,0),W79)))</f>
        <v>E</v>
      </c>
      <c r="X125" s="19" t="str" cm="1">
        <f t="array" ref="X125">_xlfn.LET(_xlpm.Fin,_xlfn.XLOOKUP(Q125,Exp_Shift[[Rating]:[Rating]],Exp_Shift[[Number]:[Number]],0,0),_xlpm.Init,_xlfn.XLOOKUP(Q79,Exp_Shift[[Rating]:[Rating]],Exp_Shift[[Number]:[Number]],0,0),_xlpm.X,_xlfn.XLOOKUP(X79,Exp_Shift[[Rating]:[Rating]],Exp_Shift[[Number]:[Number]],0,0), IF(_xlpm.Fin-_xlpm.Init&gt;0, _xlfn.XLOOKUP(MIN(4,_xlpm.X+_xlpm.Fin-_xlpm.Init),Exp_Shift[[Number]:[Number]],Exp_Shift[[Rating]:[Rating]],0,0),IF(_xlpm.Fin-_xlpm.Init&lt;0,_xlfn.XLOOKUP(MAX(0,_xlpm.X-1),Exp_Shift[[Number]:[Number]],Exp_Shift[[Rating]:[Rating]],0,0),X79)))</f>
        <v>E</v>
      </c>
      <c r="Y125" s="23" t="str" cm="1">
        <f t="array" ref="Y125">_xlfn.LET(_xlpm.Fin,_xlfn.XLOOKUP(K125,Exp_Shift[[Rating]:[Rating]],Exp_Shift[[Number]:[Number]],0,0),_xlpm.Init,_xlfn.XLOOKUP(K79,Exp_Shift[[Rating]:[Rating]],Exp_Shift[[Number]:[Number]],0,0),_xlpm.X,_xlfn.XLOOKUP(Y79,Exp_Shift[[Rating]:[Rating]],Exp_Shift[[Number]:[Number]],0,0), IF(_xlpm.Fin-_xlpm.Init&gt;0, _xlfn.XLOOKUP(MIN(4,_xlpm.X+1),Exp_Shift[[Number]:[Number]],Exp_Shift[[Rating]:[Rating]],0,0),IF(_xlpm.Fin-_xlpm.Init&lt;0,_xlfn.XLOOKUP(MAX(0,_xlpm.X),Exp_Shift[[Number]:[Number]],Exp_Shift[[Rating]:[Rating]],0,0),Y79)))</f>
        <v>E</v>
      </c>
      <c r="Z125" t="str" cm="1">
        <f t="array" ref="Z125">_xlfn.LET(_xlpm.Fin,_xlfn.XLOOKUP(L125,Exp_Shift[[Rating]:[Rating]],Exp_Shift[[Number]:[Number]],0,0),_xlpm.Init,_xlfn.XLOOKUP(L79,Exp_Shift[[Rating]:[Rating]],Exp_Shift[[Number]:[Number]],0,0),_xlpm.X,_xlfn.XLOOKUP(Z79,Exp_Shift[[Rating]:[Rating]],Exp_Shift[[Number]:[Number]],0,0), IF(_xlpm.Fin-_xlpm.Init&gt;0, _xlfn.XLOOKUP(MIN(4,_xlpm.X+1),Exp_Shift[[Number]:[Number]],Exp_Shift[[Rating]:[Rating]],0,0),IF(_xlpm.Fin-_xlpm.Init&lt;0,_xlfn.XLOOKUP(MAX(0,_xlpm.X),Exp_Shift[[Number]:[Number]],Exp_Shift[[Rating]:[Rating]],0,0),Z79)))</f>
        <v>E</v>
      </c>
      <c r="AA125" t="str" cm="1">
        <f t="array" ref="AA125">_xlfn.LET(_xlpm.Fin,_xlfn.XLOOKUP(M125,Exp_Shift[[Rating]:[Rating]],Exp_Shift[[Number]:[Number]],0,0),_xlpm.Init,_xlfn.XLOOKUP(M79,Exp_Shift[[Rating]:[Rating]],Exp_Shift[[Number]:[Number]],0,0),_xlpm.X,_xlfn.XLOOKUP(AA79,Exp_Shift[[Rating]:[Rating]],Exp_Shift[[Number]:[Number]],0,0), IF(_xlpm.Fin-_xlpm.Init&gt;0, _xlfn.XLOOKUP(MIN(4,_xlpm.X+1),Exp_Shift[[Number]:[Number]],Exp_Shift[[Rating]:[Rating]],0,0),IF(_xlpm.Fin-_xlpm.Init&lt;0,_xlfn.XLOOKUP(MAX(0,_xlpm.X),Exp_Shift[[Number]:[Number]],Exp_Shift[[Rating]:[Rating]],0,0),AA79)))</f>
        <v>E</v>
      </c>
      <c r="AB125" t="str" cm="1">
        <f t="array" ref="AB125">_xlfn.LET(_xlpm.Fin,_xlfn.XLOOKUP(N125,Exp_Shift[[Rating]:[Rating]],Exp_Shift[[Number]:[Number]],0,0),_xlpm.Init,_xlfn.XLOOKUP(N79,Exp_Shift[[Rating]:[Rating]],Exp_Shift[[Number]:[Number]],0,0),_xlpm.X,_xlfn.XLOOKUP(AB79,Exp_Shift[[Rating]:[Rating]],Exp_Shift[[Number]:[Number]],0,0), IF(_xlpm.Fin-_xlpm.Init&gt;0, _xlfn.XLOOKUP(MIN(4,_xlpm.X+1),Exp_Shift[[Number]:[Number]],Exp_Shift[[Rating]:[Rating]],0,0),IF(_xlpm.Fin-_xlpm.Init&lt;0,_xlfn.XLOOKUP(MAX(0,_xlpm.X),Exp_Shift[[Number]:[Number]],Exp_Shift[[Rating]:[Rating]],0,0),AB79)))</f>
        <v>E</v>
      </c>
      <c r="AC125" t="str" cm="1">
        <f t="array" ref="AC125">_xlfn.LET(_xlpm.Fin,_xlfn.XLOOKUP(O125,Exp_Shift[[Rating]:[Rating]],Exp_Shift[[Number]:[Number]],0,0),_xlpm.Init,_xlfn.XLOOKUP(O79,Exp_Shift[[Rating]:[Rating]],Exp_Shift[[Number]:[Number]],0,0),_xlpm.X,_xlfn.XLOOKUP(AC79,Exp_Shift[[Rating]:[Rating]],Exp_Shift[[Number]:[Number]],0,0), IF(_xlpm.Fin-_xlpm.Init&gt;0, _xlfn.XLOOKUP(MIN(4,_xlpm.X+1),Exp_Shift[[Number]:[Number]],Exp_Shift[[Rating]:[Rating]],0,0),IF(_xlpm.Fin-_xlpm.Init&lt;0,_xlfn.XLOOKUP(MAX(0,_xlpm.X),Exp_Shift[[Number]:[Number]],Exp_Shift[[Rating]:[Rating]],0,0),AC79)))</f>
        <v>E</v>
      </c>
      <c r="AD125" t="str" cm="1">
        <f t="array" ref="AD125">_xlfn.LET(_xlpm.Fin,_xlfn.XLOOKUP(P125,Exp_Shift[[Rating]:[Rating]],Exp_Shift[[Number]:[Number]],0,0),_xlpm.Init,_xlfn.XLOOKUP(P79,Exp_Shift[[Rating]:[Rating]],Exp_Shift[[Number]:[Number]],0,0),_xlpm.X,_xlfn.XLOOKUP(AD79,Exp_Shift[[Rating]:[Rating]],Exp_Shift[[Number]:[Number]],0,0), IF(_xlpm.Fin-_xlpm.Init&gt;0, _xlfn.XLOOKUP(MIN(4,_xlpm.X+1),Exp_Shift[[Number]:[Number]],Exp_Shift[[Rating]:[Rating]],0,0),IF(_xlpm.Fin-_xlpm.Init&lt;0,_xlfn.XLOOKUP(MAX(0,_xlpm.X),Exp_Shift[[Number]:[Number]],Exp_Shift[[Rating]:[Rating]],0,0),AD79)))</f>
        <v>E</v>
      </c>
      <c r="AE125" s="27" t="str" cm="1">
        <f t="array" ref="AE125">_xlfn.LET(_xlpm.Fin,_xlfn.XLOOKUP(Q125,Exp_Shift[[Rating]:[Rating]],Exp_Shift[[Number]:[Number]],0,0),_xlpm.Init,_xlfn.XLOOKUP(Q79,Exp_Shift[[Rating]:[Rating]],Exp_Shift[[Number]:[Number]],0,0),_xlpm.X,_xlfn.XLOOKUP(AE79,Exp_Shift[[Rating]:[Rating]],Exp_Shift[[Number]:[Number]],0,0), IF(_xlpm.Fin-_xlpm.Init&gt;0, _xlfn.XLOOKUP(MIN(4,_xlpm.X+1),Exp_Shift[[Number]:[Number]],Exp_Shift[[Rating]:[Rating]],0,0),IF(_xlpm.Fin-_xlpm.Init&lt;0,_xlfn.XLOOKUP(MAX(0,_xlpm.X),Exp_Shift[[Number]:[Number]],Exp_Shift[[Rating]:[Rating]],0,0),AE79)))</f>
        <v>E</v>
      </c>
    </row>
    <row r="126" spans="8:31" ht="18.5" thickBot="1" x14ac:dyDescent="0.4">
      <c r="H126" s="26">
        <v>69</v>
      </c>
      <c r="I126" s="343" t="s">
        <v>46</v>
      </c>
      <c r="J126" s="344" t="s">
        <v>217</v>
      </c>
      <c r="K126" s="227" t="str" cm="1">
        <f t="array" ref="K126">_xlfn.SWITCH(K103,"N/A","L","L","M","M","H","H","E","E","N/A")</f>
        <v>H</v>
      </c>
      <c r="L126" s="10" t="str" cm="1">
        <f t="array" ref="L126">_xlfn.SWITCH(L103,"N/A","L","L","M","M","H","H","E","E","N/A")</f>
        <v>N/A</v>
      </c>
      <c r="M126" s="10" t="str" cm="1">
        <f t="array" ref="M126">_xlfn.SWITCH(M103,"N/A","L","L","M","M","H","H","E","E","N/A")</f>
        <v>E</v>
      </c>
      <c r="N126" s="10" t="str" cm="1">
        <f t="array" ref="N126">_xlfn.SWITCH(N103,"N/A","L","L","M","M","H","H","E","E","N/A")</f>
        <v>E</v>
      </c>
      <c r="O126" s="10" t="str" cm="1">
        <f t="array" ref="O126">_xlfn.SWITCH(O103,"N/A","L","L","M","M","H","H","E","E","N/A")</f>
        <v>M</v>
      </c>
      <c r="P126" s="10" t="str" cm="1">
        <f t="array" ref="P126">_xlfn.SWITCH(P103,"N/A","L","L","M","M","H","H","E","E","N/A")</f>
        <v>H</v>
      </c>
      <c r="Q126" s="345" t="str" cm="1">
        <f t="array" ref="Q126">_xlfn.SWITCH(Q103,"N/A","L","L","M","M","H","H","E","E","N/A")</f>
        <v>E</v>
      </c>
      <c r="R126" s="227" t="str" cm="1">
        <f t="array" ref="R126">_xlfn.LET(_xlpm.Fin,_xlfn.XLOOKUP(K126,Exp_Shift[[Rating]:[Rating]],Exp_Shift[[Number]:[Number]],0,0),_xlpm.Init,_xlfn.XLOOKUP(K80,Exp_Shift[[Rating]:[Rating]],Exp_Shift[[Number]:[Number]],0,0),_xlpm.X,_xlfn.XLOOKUP(R80,Exp_Shift[[Rating]:[Rating]],Exp_Shift[[Number]:[Number]],0,0), IF(_xlpm.Fin-_xlpm.Init&gt;0, _xlfn.XLOOKUP(MIN(4,_xlpm.X+_xlpm.Fin-_xlpm.Init),Exp_Shift[[Number]:[Number]],Exp_Shift[[Rating]:[Rating]],0,0),IF(_xlpm.Fin-_xlpm.Init&lt;0,_xlfn.XLOOKUP(MAX(0,_xlpm.X-1),Exp_Shift[[Number]:[Number]],Exp_Shift[[Rating]:[Rating]],0,0),R80)))</f>
        <v>E</v>
      </c>
      <c r="S126" s="10" t="str" cm="1">
        <f t="array" ref="S126">_xlfn.LET(_xlpm.Fin,_xlfn.XLOOKUP(L126,Exp_Shift[[Rating]:[Rating]],Exp_Shift[[Number]:[Number]],0,0),_xlpm.Init,_xlfn.XLOOKUP(L80,Exp_Shift[[Rating]:[Rating]],Exp_Shift[[Number]:[Number]],0,0),_xlpm.X,_xlfn.XLOOKUP(S80,Exp_Shift[[Rating]:[Rating]],Exp_Shift[[Number]:[Number]],0,0), IF(_xlpm.Fin-_xlpm.Init&gt;0, _xlfn.XLOOKUP(MIN(4,_xlpm.X+_xlpm.Fin-_xlpm.Init),Exp_Shift[[Number]:[Number]],Exp_Shift[[Rating]:[Rating]],0,0),IF(_xlpm.Fin-_xlpm.Init&lt;0,_xlfn.XLOOKUP(MAX(0,_xlpm.X-1),Exp_Shift[[Number]:[Number]],Exp_Shift[[Rating]:[Rating]],0,0),S80)))</f>
        <v>M</v>
      </c>
      <c r="T126" s="10" t="str" cm="1">
        <f t="array" ref="T126">_xlfn.LET(_xlpm.Fin,_xlfn.XLOOKUP(M126,Exp_Shift[[Rating]:[Rating]],Exp_Shift[[Number]:[Number]],0,0),_xlpm.Init,_xlfn.XLOOKUP(M80,Exp_Shift[[Rating]:[Rating]],Exp_Shift[[Number]:[Number]],0,0),_xlpm.X,_xlfn.XLOOKUP(T80,Exp_Shift[[Rating]:[Rating]],Exp_Shift[[Number]:[Number]],0,0), IF(_xlpm.Fin-_xlpm.Init&gt;0, _xlfn.XLOOKUP(MIN(4,_xlpm.X+_xlpm.Fin-_xlpm.Init),Exp_Shift[[Number]:[Number]],Exp_Shift[[Rating]:[Rating]],0,0),IF(_xlpm.Fin-_xlpm.Init&lt;0,_xlfn.XLOOKUP(MAX(0,_xlpm.X-1),Exp_Shift[[Number]:[Number]],Exp_Shift[[Rating]:[Rating]],0,0),T80)))</f>
        <v>E</v>
      </c>
      <c r="U126" s="10" t="str" cm="1">
        <f t="array" ref="U126">_xlfn.LET(_xlpm.Fin,_xlfn.XLOOKUP(N126,Exp_Shift[[Rating]:[Rating]],Exp_Shift[[Number]:[Number]],0,0),_xlpm.Init,_xlfn.XLOOKUP(N80,Exp_Shift[[Rating]:[Rating]],Exp_Shift[[Number]:[Number]],0,0),_xlpm.X,_xlfn.XLOOKUP(U80,Exp_Shift[[Rating]:[Rating]],Exp_Shift[[Number]:[Number]],0,0), IF(_xlpm.Fin-_xlpm.Init&gt;0, _xlfn.XLOOKUP(MIN(4,_xlpm.X+_xlpm.Fin-_xlpm.Init),Exp_Shift[[Number]:[Number]],Exp_Shift[[Rating]:[Rating]],0,0),IF(_xlpm.Fin-_xlpm.Init&lt;0,_xlfn.XLOOKUP(MAX(0,_xlpm.X-1),Exp_Shift[[Number]:[Number]],Exp_Shift[[Rating]:[Rating]],0,0),U80)))</f>
        <v>E</v>
      </c>
      <c r="V126" s="10" t="str" cm="1">
        <f t="array" ref="V126">_xlfn.LET(_xlpm.Fin,_xlfn.XLOOKUP(O126,Exp_Shift[[Rating]:[Rating]],Exp_Shift[[Number]:[Number]],0,0),_xlpm.Init,_xlfn.XLOOKUP(O80,Exp_Shift[[Rating]:[Rating]],Exp_Shift[[Number]:[Number]],0,0),_xlpm.X,_xlfn.XLOOKUP(V80,Exp_Shift[[Rating]:[Rating]],Exp_Shift[[Number]:[Number]],0,0), IF(_xlpm.Fin-_xlpm.Init&gt;0, _xlfn.XLOOKUP(MIN(4,_xlpm.X+_xlpm.Fin-_xlpm.Init),Exp_Shift[[Number]:[Number]],Exp_Shift[[Rating]:[Rating]],0,0),IF(_xlpm.Fin-_xlpm.Init&lt;0,_xlfn.XLOOKUP(MAX(0,_xlpm.X-1),Exp_Shift[[Number]:[Number]],Exp_Shift[[Rating]:[Rating]],0,0),V80)))</f>
        <v>M</v>
      </c>
      <c r="W126" s="10" t="str" cm="1">
        <f t="array" ref="W126">_xlfn.LET(_xlpm.Fin,_xlfn.XLOOKUP(P126,Exp_Shift[[Rating]:[Rating]],Exp_Shift[[Number]:[Number]],0,0),_xlpm.Init,_xlfn.XLOOKUP(P80,Exp_Shift[[Rating]:[Rating]],Exp_Shift[[Number]:[Number]],0,0),_xlpm.X,_xlfn.XLOOKUP(W80,Exp_Shift[[Rating]:[Rating]],Exp_Shift[[Number]:[Number]],0,0), IF(_xlpm.Fin-_xlpm.Init&gt;0, _xlfn.XLOOKUP(MIN(4,_xlpm.X+_xlpm.Fin-_xlpm.Init),Exp_Shift[[Number]:[Number]],Exp_Shift[[Rating]:[Rating]],0,0),IF(_xlpm.Fin-_xlpm.Init&lt;0,_xlfn.XLOOKUP(MAX(0,_xlpm.X-1),Exp_Shift[[Number]:[Number]],Exp_Shift[[Rating]:[Rating]],0,0),W80)))</f>
        <v>E</v>
      </c>
      <c r="X126" s="345" t="str" cm="1">
        <f t="array" ref="X126">_xlfn.LET(_xlpm.Fin,_xlfn.XLOOKUP(Q126,Exp_Shift[[Rating]:[Rating]],Exp_Shift[[Number]:[Number]],0,0),_xlpm.Init,_xlfn.XLOOKUP(Q80,Exp_Shift[[Rating]:[Rating]],Exp_Shift[[Number]:[Number]],0,0),_xlpm.X,_xlfn.XLOOKUP(X80,Exp_Shift[[Rating]:[Rating]],Exp_Shift[[Number]:[Number]],0,0), IF(_xlpm.Fin-_xlpm.Init&gt;0, _xlfn.XLOOKUP(MIN(4,_xlpm.X+_xlpm.Fin-_xlpm.Init),Exp_Shift[[Number]:[Number]],Exp_Shift[[Rating]:[Rating]],0,0),IF(_xlpm.Fin-_xlpm.Init&lt;0,_xlfn.XLOOKUP(MAX(0,_xlpm.X-1),Exp_Shift[[Number]:[Number]],Exp_Shift[[Rating]:[Rating]],0,0),X80)))</f>
        <v>E</v>
      </c>
      <c r="Y126" s="227" t="str" cm="1">
        <f t="array" ref="Y126">_xlfn.LET(_xlpm.Fin,_xlfn.XLOOKUP(K126,Exp_Shift[[Rating]:[Rating]],Exp_Shift[[Number]:[Number]],0,0),_xlpm.Init,_xlfn.XLOOKUP(K80,Exp_Shift[[Rating]:[Rating]],Exp_Shift[[Number]:[Number]],0,0),_xlpm.X,_xlfn.XLOOKUP(Y80,Exp_Shift[[Rating]:[Rating]],Exp_Shift[[Number]:[Number]],0,0), IF(_xlpm.Fin-_xlpm.Init&gt;0, _xlfn.XLOOKUP(MIN(4,_xlpm.X+1),Exp_Shift[[Number]:[Number]],Exp_Shift[[Rating]:[Rating]],0,0),IF(_xlpm.Fin-_xlpm.Init&lt;0,_xlfn.XLOOKUP(MAX(0,_xlpm.X),Exp_Shift[[Number]:[Number]],Exp_Shift[[Rating]:[Rating]],0,0),Y80)))</f>
        <v>E</v>
      </c>
      <c r="Z126" s="10" t="str" cm="1">
        <f t="array" ref="Z126">_xlfn.LET(_xlpm.Fin,_xlfn.XLOOKUP(L126,Exp_Shift[[Rating]:[Rating]],Exp_Shift[[Number]:[Number]],0,0),_xlpm.Init,_xlfn.XLOOKUP(L80,Exp_Shift[[Rating]:[Rating]],Exp_Shift[[Number]:[Number]],0,0),_xlpm.X,_xlfn.XLOOKUP(Z80,Exp_Shift[[Rating]:[Rating]],Exp_Shift[[Number]:[Number]],0,0), IF(_xlpm.Fin-_xlpm.Init&gt;0, _xlfn.XLOOKUP(MIN(4,_xlpm.X+1),Exp_Shift[[Number]:[Number]],Exp_Shift[[Rating]:[Rating]],0,0),IF(_xlpm.Fin-_xlpm.Init&lt;0,_xlfn.XLOOKUP(MAX(0,_xlpm.X),Exp_Shift[[Number]:[Number]],Exp_Shift[[Rating]:[Rating]],0,0),Z80)))</f>
        <v>H</v>
      </c>
      <c r="AA126" s="10" t="str" cm="1">
        <f t="array" ref="AA126">_xlfn.LET(_xlpm.Fin,_xlfn.XLOOKUP(M126,Exp_Shift[[Rating]:[Rating]],Exp_Shift[[Number]:[Number]],0,0),_xlpm.Init,_xlfn.XLOOKUP(M80,Exp_Shift[[Rating]:[Rating]],Exp_Shift[[Number]:[Number]],0,0),_xlpm.X,_xlfn.XLOOKUP(AA80,Exp_Shift[[Rating]:[Rating]],Exp_Shift[[Number]:[Number]],0,0), IF(_xlpm.Fin-_xlpm.Init&gt;0, _xlfn.XLOOKUP(MIN(4,_xlpm.X+1),Exp_Shift[[Number]:[Number]],Exp_Shift[[Rating]:[Rating]],0,0),IF(_xlpm.Fin-_xlpm.Init&lt;0,_xlfn.XLOOKUP(MAX(0,_xlpm.X),Exp_Shift[[Number]:[Number]],Exp_Shift[[Rating]:[Rating]],0,0),AA80)))</f>
        <v>E</v>
      </c>
      <c r="AB126" s="10" t="str" cm="1">
        <f t="array" ref="AB126">_xlfn.LET(_xlpm.Fin,_xlfn.XLOOKUP(N126,Exp_Shift[[Rating]:[Rating]],Exp_Shift[[Number]:[Number]],0,0),_xlpm.Init,_xlfn.XLOOKUP(N80,Exp_Shift[[Rating]:[Rating]],Exp_Shift[[Number]:[Number]],0,0),_xlpm.X,_xlfn.XLOOKUP(AB80,Exp_Shift[[Rating]:[Rating]],Exp_Shift[[Number]:[Number]],0,0), IF(_xlpm.Fin-_xlpm.Init&gt;0, _xlfn.XLOOKUP(MIN(4,_xlpm.X+1),Exp_Shift[[Number]:[Number]],Exp_Shift[[Rating]:[Rating]],0,0),IF(_xlpm.Fin-_xlpm.Init&lt;0,_xlfn.XLOOKUP(MAX(0,_xlpm.X),Exp_Shift[[Number]:[Number]],Exp_Shift[[Rating]:[Rating]],0,0),AB80)))</f>
        <v>E</v>
      </c>
      <c r="AC126" s="10" t="str" cm="1">
        <f t="array" ref="AC126">_xlfn.LET(_xlpm.Fin,_xlfn.XLOOKUP(O126,Exp_Shift[[Rating]:[Rating]],Exp_Shift[[Number]:[Number]],0,0),_xlpm.Init,_xlfn.XLOOKUP(O80,Exp_Shift[[Rating]:[Rating]],Exp_Shift[[Number]:[Number]],0,0),_xlpm.X,_xlfn.XLOOKUP(AC80,Exp_Shift[[Rating]:[Rating]],Exp_Shift[[Number]:[Number]],0,0), IF(_xlpm.Fin-_xlpm.Init&gt;0, _xlfn.XLOOKUP(MIN(4,_xlpm.X+1),Exp_Shift[[Number]:[Number]],Exp_Shift[[Rating]:[Rating]],0,0),IF(_xlpm.Fin-_xlpm.Init&lt;0,_xlfn.XLOOKUP(MAX(0,_xlpm.X),Exp_Shift[[Number]:[Number]],Exp_Shift[[Rating]:[Rating]],0,0),AC80)))</f>
        <v>L</v>
      </c>
      <c r="AD126" s="10" t="str" cm="1">
        <f t="array" ref="AD126">_xlfn.LET(_xlpm.Fin,_xlfn.XLOOKUP(P126,Exp_Shift[[Rating]:[Rating]],Exp_Shift[[Number]:[Number]],0,0),_xlpm.Init,_xlfn.XLOOKUP(P80,Exp_Shift[[Rating]:[Rating]],Exp_Shift[[Number]:[Number]],0,0),_xlpm.X,_xlfn.XLOOKUP(AD80,Exp_Shift[[Rating]:[Rating]],Exp_Shift[[Number]:[Number]],0,0), IF(_xlpm.Fin-_xlpm.Init&gt;0, _xlfn.XLOOKUP(MIN(4,_xlpm.X+1),Exp_Shift[[Number]:[Number]],Exp_Shift[[Rating]:[Rating]],0,0),IF(_xlpm.Fin-_xlpm.Init&lt;0,_xlfn.XLOOKUP(MAX(0,_xlpm.X),Exp_Shift[[Number]:[Number]],Exp_Shift[[Rating]:[Rating]],0,0),AD80)))</f>
        <v>E</v>
      </c>
      <c r="AE126" s="12" t="str" cm="1">
        <f t="array" ref="AE126">_xlfn.LET(_xlpm.Fin,_xlfn.XLOOKUP(Q126,Exp_Shift[[Rating]:[Rating]],Exp_Shift[[Number]:[Number]],0,0),_xlpm.Init,_xlfn.XLOOKUP(Q80,Exp_Shift[[Rating]:[Rating]],Exp_Shift[[Number]:[Number]],0,0),_xlpm.X,_xlfn.XLOOKUP(AE80,Exp_Shift[[Rating]:[Rating]],Exp_Shift[[Number]:[Number]],0,0), IF(_xlpm.Fin-_xlpm.Init&gt;0, _xlfn.XLOOKUP(MIN(4,_xlpm.X+1),Exp_Shift[[Number]:[Number]],Exp_Shift[[Rating]:[Rating]],0,0),IF(_xlpm.Fin-_xlpm.Init&lt;0,_xlfn.XLOOKUP(MAX(0,_xlpm.X),Exp_Shift[[Number]:[Number]],Exp_Shift[[Rating]:[Rating]],0,0),AE80)))</f>
        <v>E</v>
      </c>
    </row>
    <row r="127" spans="8:31" ht="18" x14ac:dyDescent="0.35">
      <c r="H127" s="99">
        <v>70</v>
      </c>
      <c r="I127" s="336" t="s">
        <v>111</v>
      </c>
      <c r="J127" s="337" t="s">
        <v>112</v>
      </c>
      <c r="K127" s="338" t="str" cm="1">
        <f t="array" ref="K127">_xlfn.SWITCH(K104,"N/A","L","L","M","M","H","H","E","E","N/A")</f>
        <v>N/A</v>
      </c>
      <c r="L127" s="100" t="str" cm="1">
        <f t="array" ref="L127">_xlfn.SWITCH(L104,"N/A","L","L","M","M","H","H","E","E","N/A")</f>
        <v>E</v>
      </c>
      <c r="M127" s="100" t="str" cm="1">
        <f t="array" ref="M127">_xlfn.SWITCH(M104,"N/A","L","L","M","M","H","H","E","E","N/A")</f>
        <v>L</v>
      </c>
      <c r="N127" s="100" t="str" cm="1">
        <f t="array" ref="N127">_xlfn.SWITCH(N104,"N/A","L","L","M","M","H","H","E","E","N/A")</f>
        <v>E</v>
      </c>
      <c r="O127" s="100" t="str" cm="1">
        <f t="array" ref="O127">_xlfn.SWITCH(O104,"N/A","L","L","M","M","H","H","E","E","N/A")</f>
        <v>L</v>
      </c>
      <c r="P127" s="100" t="str" cm="1">
        <f t="array" ref="P127">_xlfn.SWITCH(P104,"N/A","L","L","M","M","H","H","E","E","N/A")</f>
        <v>L</v>
      </c>
      <c r="Q127" s="339" t="str" cm="1">
        <f t="array" ref="Q127">_xlfn.SWITCH(Q104,"N/A","L","L","M","M","H","H","E","E","N/A")</f>
        <v>L</v>
      </c>
      <c r="R127" s="338" t="str" cm="1">
        <f t="array" ref="R127">_xlfn.LET(_xlpm.Fin,_xlfn.XLOOKUP(K127,Exp_Shift[Rating],Exp_Shift[Number],0,0),_xlpm.Init,_xlfn.XLOOKUP(K58,Exp_Shift[Rating],Exp_Shift[Number],0,0),_xlpm.X,_xlfn.XLOOKUP(R58,Exp_Shift[Rating],Exp_Shift[Number],0,0), IF(_xlpm.Fin-_xlpm.Init&gt;0, _xlfn.XLOOKUP(MIN(4,_xlpm.X+_xlpm.Fin-_xlpm.Init),Exp_Shift[Number],Exp_Shift[Rating],0,0),IF(_xlpm.Fin-_xlpm.Init&lt;0,_xlfn.XLOOKUP(MAX(0,_xlpm.X-1),Exp_Shift[Number],Exp_Shift[Rating],0,0),R58)))</f>
        <v>M</v>
      </c>
      <c r="S127" s="100" t="str" cm="1">
        <f t="array" ref="S127">_xlfn.LET(_xlpm.Fin,_xlfn.XLOOKUP(L127,Exp_Shift[Rating],Exp_Shift[Number],0,0),_xlpm.Init,_xlfn.XLOOKUP(L58,Exp_Shift[Rating],Exp_Shift[Number],0,0),_xlpm.X,_xlfn.XLOOKUP(S58,Exp_Shift[Rating],Exp_Shift[Number],0,0), IF(_xlpm.Fin-_xlpm.Init&gt;0, _xlfn.XLOOKUP(MIN(4,_xlpm.X+_xlpm.Fin-_xlpm.Init),Exp_Shift[Number],Exp_Shift[Rating],0,0),IF(_xlpm.Fin-_xlpm.Init&lt;0,_xlfn.XLOOKUP(MAX(0,_xlpm.X-1),Exp_Shift[Number],Exp_Shift[Rating],0,0),S58)))</f>
        <v>E</v>
      </c>
      <c r="T127" s="100" t="str" cm="1">
        <f t="array" ref="T127">_xlfn.LET(_xlpm.Fin,_xlfn.XLOOKUP(M127,Exp_Shift[Rating],Exp_Shift[Number],0,0),_xlpm.Init,_xlfn.XLOOKUP(M58,Exp_Shift[Rating],Exp_Shift[Number],0,0),_xlpm.X,_xlfn.XLOOKUP(T58,Exp_Shift[Rating],Exp_Shift[Number],0,0), IF(_xlpm.Fin-_xlpm.Init&gt;0, _xlfn.XLOOKUP(MIN(4,_xlpm.X+_xlpm.Fin-_xlpm.Init),Exp_Shift[Number],Exp_Shift[Rating],0,0),IF(_xlpm.Fin-_xlpm.Init&lt;0,_xlfn.XLOOKUP(MAX(0,_xlpm.X-1),Exp_Shift[Number],Exp_Shift[Rating],0,0),T58)))</f>
        <v>H</v>
      </c>
      <c r="U127" s="100" t="str" cm="1">
        <f t="array" ref="U127">_xlfn.LET(_xlpm.Fin,_xlfn.XLOOKUP(N127,Exp_Shift[Rating],Exp_Shift[Number],0,0),_xlpm.Init,_xlfn.XLOOKUP(N58,Exp_Shift[Rating],Exp_Shift[Number],0,0),_xlpm.X,_xlfn.XLOOKUP(U58,Exp_Shift[Rating],Exp_Shift[Number],0,0), IF(_xlpm.Fin-_xlpm.Init&gt;0, _xlfn.XLOOKUP(MIN(4,_xlpm.X+_xlpm.Fin-_xlpm.Init),Exp_Shift[Number],Exp_Shift[Rating],0,0),IF(_xlpm.Fin-_xlpm.Init&lt;0,_xlfn.XLOOKUP(MAX(0,_xlpm.X-1),Exp_Shift[Number],Exp_Shift[Rating],0,0),U58)))</f>
        <v>E</v>
      </c>
      <c r="V127" s="100" t="str" cm="1">
        <f t="array" ref="V127">_xlfn.LET(_xlpm.Fin,_xlfn.XLOOKUP(O127,Exp_Shift[Rating],Exp_Shift[Number],0,0),_xlpm.Init,_xlfn.XLOOKUP(O58,Exp_Shift[Rating],Exp_Shift[Number],0,0),_xlpm.X,_xlfn.XLOOKUP(V58,Exp_Shift[Rating],Exp_Shift[Number],0,0), IF(_xlpm.Fin-_xlpm.Init&gt;0, _xlfn.XLOOKUP(MIN(4,_xlpm.X+_xlpm.Fin-_xlpm.Init),Exp_Shift[Number],Exp_Shift[Rating],0,0),IF(_xlpm.Fin-_xlpm.Init&lt;0,_xlfn.XLOOKUP(MAX(0,_xlpm.X-1),Exp_Shift[Number],Exp_Shift[Rating],0,0),V58)))</f>
        <v>H</v>
      </c>
      <c r="W127" s="100" t="str" cm="1">
        <f t="array" ref="W127">_xlfn.LET(_xlpm.Fin,_xlfn.XLOOKUP(P127,Exp_Shift[Rating],Exp_Shift[Number],0,0),_xlpm.Init,_xlfn.XLOOKUP(P58,Exp_Shift[Rating],Exp_Shift[Number],0,0),_xlpm.X,_xlfn.XLOOKUP(W58,Exp_Shift[Rating],Exp_Shift[Number],0,0), IF(_xlpm.Fin-_xlpm.Init&gt;0, _xlfn.XLOOKUP(MIN(4,_xlpm.X+_xlpm.Fin-_xlpm.Init),Exp_Shift[Number],Exp_Shift[Rating],0,0),IF(_xlpm.Fin-_xlpm.Init&lt;0,_xlfn.XLOOKUP(MAX(0,_xlpm.X-1),Exp_Shift[Number],Exp_Shift[Rating],0,0),W58)))</f>
        <v>M</v>
      </c>
      <c r="X127" s="339" t="str" cm="1">
        <f t="array" ref="X127">_xlfn.LET(_xlpm.Fin,_xlfn.XLOOKUP(Q127,Exp_Shift[Rating],Exp_Shift[Number],0,0),_xlpm.Init,_xlfn.XLOOKUP(Q58,Exp_Shift[Rating],Exp_Shift[Number],0,0),_xlpm.X,_xlfn.XLOOKUP(X58,Exp_Shift[Rating],Exp_Shift[Number],0,0), IF(_xlpm.Fin-_xlpm.Init&gt;0, _xlfn.XLOOKUP(MIN(4,_xlpm.X+_xlpm.Fin-_xlpm.Init),Exp_Shift[Number],Exp_Shift[Rating],0,0),IF(_xlpm.Fin-_xlpm.Init&lt;0,_xlfn.XLOOKUP(MAX(0,_xlpm.X-1),Exp_Shift[Number],Exp_Shift[Rating],0,0),X58)))</f>
        <v>H</v>
      </c>
      <c r="Y127" s="338" t="str" cm="1">
        <f t="array" ref="Y127">_xlfn.LET(_xlpm.Fin,_xlfn.XLOOKUP(K127,Exp_Shift[Rating],Exp_Shift[Number],0,0),_xlpm.Init,_xlfn.XLOOKUP(K58,Exp_Shift[Rating],Exp_Shift[Number],0,0),_xlpm.X,_xlfn.XLOOKUP(Y58,Exp_Shift[Rating],Exp_Shift[Number],0,0), IF(_xlpm.Fin-_xlpm.Init&gt;0, _xlfn.XLOOKUP(MIN(4,_xlpm.X+1),Exp_Shift[Number],Exp_Shift[Rating],0,0),IF(_xlpm.Fin-_xlpm.Init&lt;0,_xlfn.XLOOKUP(MAX(0,_xlpm.X),Exp_Shift[Number],Exp_Shift[Rating],0,0),Y58)))</f>
        <v>E</v>
      </c>
      <c r="Z127" s="100" t="str" cm="1">
        <f t="array" ref="Z127">_xlfn.LET(_xlpm.Fin,_xlfn.XLOOKUP(L127,Exp_Shift[Rating],Exp_Shift[Number],0,0),_xlpm.Init,_xlfn.XLOOKUP(L58,Exp_Shift[Rating],Exp_Shift[Number],0,0),_xlpm.X,_xlfn.XLOOKUP(Z58,Exp_Shift[Rating],Exp_Shift[Number],0,0), IF(_xlpm.Fin-_xlpm.Init&gt;0, _xlfn.XLOOKUP(MIN(4,_xlpm.X+1),Exp_Shift[Number],Exp_Shift[Rating],0,0),IF(_xlpm.Fin-_xlpm.Init&lt;0,_xlfn.XLOOKUP(MAX(0,_xlpm.X),Exp_Shift[Number],Exp_Shift[Rating],0,0),Z58)))</f>
        <v>H</v>
      </c>
      <c r="AA127" s="100" t="str" cm="1">
        <f t="array" ref="AA127">_xlfn.LET(_xlpm.Fin,_xlfn.XLOOKUP(M127,Exp_Shift[Rating],Exp_Shift[Number],0,0),_xlpm.Init,_xlfn.XLOOKUP(M58,Exp_Shift[Rating],Exp_Shift[Number],0,0),_xlpm.X,_xlfn.XLOOKUP(AA58,Exp_Shift[Rating],Exp_Shift[Number],0,0), IF(_xlpm.Fin-_xlpm.Init&gt;0, _xlfn.XLOOKUP(MIN(4,_xlpm.X+1),Exp_Shift[Number],Exp_Shift[Rating],0,0),IF(_xlpm.Fin-_xlpm.Init&lt;0,_xlfn.XLOOKUP(MAX(0,_xlpm.X),Exp_Shift[Number],Exp_Shift[Rating],0,0),AA58)))</f>
        <v>E</v>
      </c>
      <c r="AB127" s="100" t="str" cm="1">
        <f t="array" ref="AB127">_xlfn.LET(_xlpm.Fin,_xlfn.XLOOKUP(N127,Exp_Shift[Rating],Exp_Shift[Number],0,0),_xlpm.Init,_xlfn.XLOOKUP(N58,Exp_Shift[Rating],Exp_Shift[Number],0,0),_xlpm.X,_xlfn.XLOOKUP(AB58,Exp_Shift[Rating],Exp_Shift[Number],0,0), IF(_xlpm.Fin-_xlpm.Init&gt;0, _xlfn.XLOOKUP(MIN(4,_xlpm.X+1),Exp_Shift[Number],Exp_Shift[Rating],0,0),IF(_xlpm.Fin-_xlpm.Init&lt;0,_xlfn.XLOOKUP(MAX(0,_xlpm.X),Exp_Shift[Number],Exp_Shift[Rating],0,0),AB58)))</f>
        <v>M</v>
      </c>
      <c r="AC127" s="100" t="str" cm="1">
        <f t="array" ref="AC127">_xlfn.LET(_xlpm.Fin,_xlfn.XLOOKUP(O127,Exp_Shift[Rating],Exp_Shift[Number],0,0),_xlpm.Init,_xlfn.XLOOKUP(O58,Exp_Shift[Rating],Exp_Shift[Number],0,0),_xlpm.X,_xlfn.XLOOKUP(AC58,Exp_Shift[Rating],Exp_Shift[Number],0,0), IF(_xlpm.Fin-_xlpm.Init&gt;0, _xlfn.XLOOKUP(MIN(4,_xlpm.X+1),Exp_Shift[Number],Exp_Shift[Rating],0,0),IF(_xlpm.Fin-_xlpm.Init&lt;0,_xlfn.XLOOKUP(MAX(0,_xlpm.X),Exp_Shift[Number],Exp_Shift[Rating],0,0),AC58)))</f>
        <v>E</v>
      </c>
      <c r="AD127" s="100" t="str" cm="1">
        <f t="array" ref="AD127">_xlfn.LET(_xlpm.Fin,_xlfn.XLOOKUP(P127,Exp_Shift[Rating],Exp_Shift[Number],0,0),_xlpm.Init,_xlfn.XLOOKUP(P58,Exp_Shift[Rating],Exp_Shift[Number],0,0),_xlpm.X,_xlfn.XLOOKUP(AD58,Exp_Shift[Rating],Exp_Shift[Number],0,0), IF(_xlpm.Fin-_xlpm.Init&gt;0, _xlfn.XLOOKUP(MIN(4,_xlpm.X+1),Exp_Shift[Number],Exp_Shift[Rating],0,0),IF(_xlpm.Fin-_xlpm.Init&lt;0,_xlfn.XLOOKUP(MAX(0,_xlpm.X),Exp_Shift[Number],Exp_Shift[Rating],0,0),AD58)))</f>
        <v>E</v>
      </c>
      <c r="AE127" s="340" t="str" cm="1">
        <f t="array" ref="AE127">_xlfn.LET(_xlpm.Fin,_xlfn.XLOOKUP(Q127,Exp_Shift[Rating],Exp_Shift[Number],0,0),_xlpm.Init,_xlfn.XLOOKUP(Q58,Exp_Shift[Rating],Exp_Shift[Number],0,0),_xlpm.X,_xlfn.XLOOKUP(AE58,Exp_Shift[Rating],Exp_Shift[Number],0,0), IF(_xlpm.Fin-_xlpm.Init&gt;0, _xlfn.XLOOKUP(MIN(4,_xlpm.X+1),Exp_Shift[Number],Exp_Shift[Rating],0,0),IF(_xlpm.Fin-_xlpm.Init&lt;0,_xlfn.XLOOKUP(MAX(0,_xlpm.X),Exp_Shift[Number],Exp_Shift[Rating],0,0),AE58)))</f>
        <v>E</v>
      </c>
    </row>
    <row r="128" spans="8:31" ht="18" x14ac:dyDescent="0.35">
      <c r="H128" s="26">
        <v>71</v>
      </c>
      <c r="I128" s="327" t="s">
        <v>111</v>
      </c>
      <c r="J128" s="328" t="s">
        <v>117</v>
      </c>
      <c r="K128" s="23" t="str" cm="1">
        <f t="array" ref="K128">_xlfn.SWITCH(K105,"N/A","L","L","M","M","H","H","E","E","N/A")</f>
        <v>E</v>
      </c>
      <c r="L128" t="str" cm="1">
        <f t="array" ref="L128">_xlfn.SWITCH(L105,"N/A","L","L","M","M","H","H","E","E","N/A")</f>
        <v>N/A</v>
      </c>
      <c r="M128" t="str" cm="1">
        <f t="array" ref="M128">_xlfn.SWITCH(M105,"N/A","L","L","M","M","H","H","E","E","N/A")</f>
        <v>L</v>
      </c>
      <c r="N128" t="str" cm="1">
        <f t="array" ref="N128">_xlfn.SWITCH(N105,"N/A","L","L","M","M","H","H","E","E","N/A")</f>
        <v>E</v>
      </c>
      <c r="O128" t="str" cm="1">
        <f t="array" ref="O128">_xlfn.SWITCH(O105,"N/A","L","L","M","M","H","H","E","E","N/A")</f>
        <v>H</v>
      </c>
      <c r="P128" t="str" cm="1">
        <f t="array" ref="P128">_xlfn.SWITCH(P105,"N/A","L","L","M","M","H","H","E","E","N/A")</f>
        <v>H</v>
      </c>
      <c r="Q128" s="19" t="str" cm="1">
        <f t="array" ref="Q128">_xlfn.SWITCH(Q105,"N/A","L","L","M","M","H","H","E","E","N/A")</f>
        <v>L</v>
      </c>
      <c r="R128" s="23" t="str" cm="1">
        <f t="array" ref="R128">_xlfn.LET(_xlpm.Fin,_xlfn.XLOOKUP(K128,Exp_Shift[Rating],Exp_Shift[Number],0,0),_xlpm.Init,_xlfn.XLOOKUP(K59,Exp_Shift[Rating],Exp_Shift[Number],0,0),_xlpm.X,_xlfn.XLOOKUP(R59,Exp_Shift[Rating],Exp_Shift[Number],0,0), IF(_xlpm.Fin-_xlpm.Init&gt;0, _xlfn.XLOOKUP(MIN(4,_xlpm.X+_xlpm.Fin-_xlpm.Init),Exp_Shift[Number],Exp_Shift[Rating],0,0),IF(_xlpm.Fin-_xlpm.Init&lt;0,_xlfn.XLOOKUP(MAX(0,_xlpm.X-1),Exp_Shift[Number],Exp_Shift[Rating],0,0),R59)))</f>
        <v>E</v>
      </c>
      <c r="S128" t="str" cm="1">
        <f t="array" ref="S128">_xlfn.LET(_xlpm.Fin,_xlfn.XLOOKUP(L128,Exp_Shift[Rating],Exp_Shift[Number],0,0),_xlpm.Init,_xlfn.XLOOKUP(L59,Exp_Shift[Rating],Exp_Shift[Number],0,0),_xlpm.X,_xlfn.XLOOKUP(S59,Exp_Shift[Rating],Exp_Shift[Number],0,0), IF(_xlpm.Fin-_xlpm.Init&gt;0, _xlfn.XLOOKUP(MIN(4,_xlpm.X+_xlpm.Fin-_xlpm.Init),Exp_Shift[Number],Exp_Shift[Rating],0,0),IF(_xlpm.Fin-_xlpm.Init&lt;0,_xlfn.XLOOKUP(MAX(0,_xlpm.X-1),Exp_Shift[Number],Exp_Shift[Rating],0,0),S59)))</f>
        <v>M</v>
      </c>
      <c r="T128" t="str" cm="1">
        <f t="array" ref="T128">_xlfn.LET(_xlpm.Fin,_xlfn.XLOOKUP(M128,Exp_Shift[Rating],Exp_Shift[Number],0,0),_xlpm.Init,_xlfn.XLOOKUP(M59,Exp_Shift[Rating],Exp_Shift[Number],0,0),_xlpm.X,_xlfn.XLOOKUP(T59,Exp_Shift[Rating],Exp_Shift[Number],0,0), IF(_xlpm.Fin-_xlpm.Init&gt;0, _xlfn.XLOOKUP(MIN(4,_xlpm.X+_xlpm.Fin-_xlpm.Init),Exp_Shift[Number],Exp_Shift[Rating],0,0),IF(_xlpm.Fin-_xlpm.Init&lt;0,_xlfn.XLOOKUP(MAX(0,_xlpm.X-1),Exp_Shift[Number],Exp_Shift[Rating],0,0),T59)))</f>
        <v>H</v>
      </c>
      <c r="U128" t="str" cm="1">
        <f t="array" ref="U128">_xlfn.LET(_xlpm.Fin,_xlfn.XLOOKUP(N128,Exp_Shift[Rating],Exp_Shift[Number],0,0),_xlpm.Init,_xlfn.XLOOKUP(N59,Exp_Shift[Rating],Exp_Shift[Number],0,0),_xlpm.X,_xlfn.XLOOKUP(U59,Exp_Shift[Rating],Exp_Shift[Number],0,0), IF(_xlpm.Fin-_xlpm.Init&gt;0, _xlfn.XLOOKUP(MIN(4,_xlpm.X+_xlpm.Fin-_xlpm.Init),Exp_Shift[Number],Exp_Shift[Rating],0,0),IF(_xlpm.Fin-_xlpm.Init&lt;0,_xlfn.XLOOKUP(MAX(0,_xlpm.X-1),Exp_Shift[Number],Exp_Shift[Rating],0,0),U59)))</f>
        <v>E</v>
      </c>
      <c r="V128" t="str" cm="1">
        <f t="array" ref="V128">_xlfn.LET(_xlpm.Fin,_xlfn.XLOOKUP(O128,Exp_Shift[Rating],Exp_Shift[Number],0,0),_xlpm.Init,_xlfn.XLOOKUP(O59,Exp_Shift[Rating],Exp_Shift[Number],0,0),_xlpm.X,_xlfn.XLOOKUP(V59,Exp_Shift[Rating],Exp_Shift[Number],0,0), IF(_xlpm.Fin-_xlpm.Init&gt;0, _xlfn.XLOOKUP(MIN(4,_xlpm.X+_xlpm.Fin-_xlpm.Init),Exp_Shift[Number],Exp_Shift[Rating],0,0),IF(_xlpm.Fin-_xlpm.Init&lt;0,_xlfn.XLOOKUP(MAX(0,_xlpm.X-1),Exp_Shift[Number],Exp_Shift[Rating],0,0),V59)))</f>
        <v>H</v>
      </c>
      <c r="W128" t="str" cm="1">
        <f t="array" ref="W128">_xlfn.LET(_xlpm.Fin,_xlfn.XLOOKUP(P128,Exp_Shift[Rating],Exp_Shift[Number],0,0),_xlpm.Init,_xlfn.XLOOKUP(P59,Exp_Shift[Rating],Exp_Shift[Number],0,0),_xlpm.X,_xlfn.XLOOKUP(W59,Exp_Shift[Rating],Exp_Shift[Number],0,0), IF(_xlpm.Fin-_xlpm.Init&gt;0, _xlfn.XLOOKUP(MIN(4,_xlpm.X+_xlpm.Fin-_xlpm.Init),Exp_Shift[Number],Exp_Shift[Rating],0,0),IF(_xlpm.Fin-_xlpm.Init&lt;0,_xlfn.XLOOKUP(MAX(0,_xlpm.X-1),Exp_Shift[Number],Exp_Shift[Rating],0,0),W59)))</f>
        <v>H</v>
      </c>
      <c r="X128" s="19" t="str" cm="1">
        <f t="array" ref="X128">_xlfn.LET(_xlpm.Fin,_xlfn.XLOOKUP(Q128,Exp_Shift[Rating],Exp_Shift[Number],0,0),_xlpm.Init,_xlfn.XLOOKUP(Q59,Exp_Shift[Rating],Exp_Shift[Number],0,0),_xlpm.X,_xlfn.XLOOKUP(X59,Exp_Shift[Rating],Exp_Shift[Number],0,0), IF(_xlpm.Fin-_xlpm.Init&gt;0, _xlfn.XLOOKUP(MIN(4,_xlpm.X+_xlpm.Fin-_xlpm.Init),Exp_Shift[Number],Exp_Shift[Rating],0,0),IF(_xlpm.Fin-_xlpm.Init&lt;0,_xlfn.XLOOKUP(MAX(0,_xlpm.X-1),Exp_Shift[Number],Exp_Shift[Rating],0,0),X59)))</f>
        <v>H</v>
      </c>
      <c r="Y128" s="23" t="str" cm="1">
        <f t="array" ref="Y128">_xlfn.LET(_xlpm.Fin,_xlfn.XLOOKUP(K128,Exp_Shift[Rating],Exp_Shift[Number],0,0),_xlpm.Init,_xlfn.XLOOKUP(K59,Exp_Shift[Rating],Exp_Shift[Number],0,0),_xlpm.X,_xlfn.XLOOKUP(Y59,Exp_Shift[Rating],Exp_Shift[Number],0,0), IF(_xlpm.Fin-_xlpm.Init&gt;0, _xlfn.XLOOKUP(MIN(4,_xlpm.X+1),Exp_Shift[Number],Exp_Shift[Rating],0,0),IF(_xlpm.Fin-_xlpm.Init&lt;0,_xlfn.XLOOKUP(MAX(0,_xlpm.X),Exp_Shift[Number],Exp_Shift[Rating],0,0),Y59)))</f>
        <v>E</v>
      </c>
      <c r="Z128" t="str" cm="1">
        <f t="array" ref="Z128">_xlfn.LET(_xlpm.Fin,_xlfn.XLOOKUP(L128,Exp_Shift[Rating],Exp_Shift[Number],0,0),_xlpm.Init,_xlfn.XLOOKUP(L59,Exp_Shift[Rating],Exp_Shift[Number],0,0),_xlpm.X,_xlfn.XLOOKUP(Z59,Exp_Shift[Rating],Exp_Shift[Number],0,0), IF(_xlpm.Fin-_xlpm.Init&gt;0, _xlfn.XLOOKUP(MIN(4,_xlpm.X+1),Exp_Shift[Number],Exp_Shift[Rating],0,0),IF(_xlpm.Fin-_xlpm.Init&lt;0,_xlfn.XLOOKUP(MAX(0,_xlpm.X),Exp_Shift[Number],Exp_Shift[Rating],0,0),Z59)))</f>
        <v>E</v>
      </c>
      <c r="AA128" t="str" cm="1">
        <f t="array" ref="AA128">_xlfn.LET(_xlpm.Fin,_xlfn.XLOOKUP(M128,Exp_Shift[Rating],Exp_Shift[Number],0,0),_xlpm.Init,_xlfn.XLOOKUP(M59,Exp_Shift[Rating],Exp_Shift[Number],0,0),_xlpm.X,_xlfn.XLOOKUP(AA59,Exp_Shift[Rating],Exp_Shift[Number],0,0), IF(_xlpm.Fin-_xlpm.Init&gt;0, _xlfn.XLOOKUP(MIN(4,_xlpm.X+1),Exp_Shift[Number],Exp_Shift[Rating],0,0),IF(_xlpm.Fin-_xlpm.Init&lt;0,_xlfn.XLOOKUP(MAX(0,_xlpm.X),Exp_Shift[Number],Exp_Shift[Rating],0,0),AA59)))</f>
        <v>E</v>
      </c>
      <c r="AB128" t="str" cm="1">
        <f t="array" ref="AB128">_xlfn.LET(_xlpm.Fin,_xlfn.XLOOKUP(N128,Exp_Shift[Rating],Exp_Shift[Number],0,0),_xlpm.Init,_xlfn.XLOOKUP(N59,Exp_Shift[Rating],Exp_Shift[Number],0,0),_xlpm.X,_xlfn.XLOOKUP(AB59,Exp_Shift[Rating],Exp_Shift[Number],0,0), IF(_xlpm.Fin-_xlpm.Init&gt;0, _xlfn.XLOOKUP(MIN(4,_xlpm.X+1),Exp_Shift[Number],Exp_Shift[Rating],0,0),IF(_xlpm.Fin-_xlpm.Init&lt;0,_xlfn.XLOOKUP(MAX(0,_xlpm.X),Exp_Shift[Number],Exp_Shift[Rating],0,0),AB59)))</f>
        <v>E</v>
      </c>
      <c r="AC128" t="str" cm="1">
        <f t="array" ref="AC128">_xlfn.LET(_xlpm.Fin,_xlfn.XLOOKUP(O128,Exp_Shift[Rating],Exp_Shift[Number],0,0),_xlpm.Init,_xlfn.XLOOKUP(O59,Exp_Shift[Rating],Exp_Shift[Number],0,0),_xlpm.X,_xlfn.XLOOKUP(AC59,Exp_Shift[Rating],Exp_Shift[Number],0,0), IF(_xlpm.Fin-_xlpm.Init&gt;0, _xlfn.XLOOKUP(MIN(4,_xlpm.X+1),Exp_Shift[Number],Exp_Shift[Rating],0,0),IF(_xlpm.Fin-_xlpm.Init&lt;0,_xlfn.XLOOKUP(MAX(0,_xlpm.X),Exp_Shift[Number],Exp_Shift[Rating],0,0),AC59)))</f>
        <v>L</v>
      </c>
      <c r="AD128" t="str" cm="1">
        <f t="array" ref="AD128">_xlfn.LET(_xlpm.Fin,_xlfn.XLOOKUP(P128,Exp_Shift[Rating],Exp_Shift[Number],0,0),_xlpm.Init,_xlfn.XLOOKUP(P59,Exp_Shift[Rating],Exp_Shift[Number],0,0),_xlpm.X,_xlfn.XLOOKUP(AD59,Exp_Shift[Rating],Exp_Shift[Number],0,0), IF(_xlpm.Fin-_xlpm.Init&gt;0, _xlfn.XLOOKUP(MIN(4,_xlpm.X+1),Exp_Shift[Number],Exp_Shift[Rating],0,0),IF(_xlpm.Fin-_xlpm.Init&lt;0,_xlfn.XLOOKUP(MAX(0,_xlpm.X),Exp_Shift[Number],Exp_Shift[Rating],0,0),AD59)))</f>
        <v>L</v>
      </c>
      <c r="AE128" s="27" t="str" cm="1">
        <f t="array" ref="AE128">_xlfn.LET(_xlpm.Fin,_xlfn.XLOOKUP(Q128,Exp_Shift[Rating],Exp_Shift[Number],0,0),_xlpm.Init,_xlfn.XLOOKUP(Q59,Exp_Shift[Rating],Exp_Shift[Number],0,0),_xlpm.X,_xlfn.XLOOKUP(AE59,Exp_Shift[Rating],Exp_Shift[Number],0,0), IF(_xlpm.Fin-_xlpm.Init&gt;0, _xlfn.XLOOKUP(MIN(4,_xlpm.X+1),Exp_Shift[Number],Exp_Shift[Rating],0,0),IF(_xlpm.Fin-_xlpm.Init&lt;0,_xlfn.XLOOKUP(MAX(0,_xlpm.X),Exp_Shift[Number],Exp_Shift[Rating],0,0),AE59)))</f>
        <v>E</v>
      </c>
    </row>
    <row r="129" spans="8:31" ht="18" x14ac:dyDescent="0.35">
      <c r="H129" s="26">
        <v>72</v>
      </c>
      <c r="I129" s="329" t="s">
        <v>111</v>
      </c>
      <c r="J129" s="330" t="s">
        <v>119</v>
      </c>
      <c r="K129" s="103" t="str" cm="1">
        <f t="array" ref="K129">_xlfn.SWITCH(K106,"N/A","L","L","M","M","H","H","E","E","N/A")</f>
        <v>E</v>
      </c>
      <c r="L129" s="17" t="str" cm="1">
        <f t="array" ref="L129">_xlfn.SWITCH(L106,"N/A","L","L","M","M","H","H","E","E","N/A")</f>
        <v>N/A</v>
      </c>
      <c r="M129" s="17" t="str" cm="1">
        <f t="array" ref="M129">_xlfn.SWITCH(M106,"N/A","L","L","M","M","H","H","E","E","N/A")</f>
        <v>L</v>
      </c>
      <c r="N129" s="17" t="str" cm="1">
        <f t="array" ref="N129">_xlfn.SWITCH(N106,"N/A","L","L","M","M","H","H","E","E","N/A")</f>
        <v>N/A</v>
      </c>
      <c r="O129" s="17" t="str" cm="1">
        <f t="array" ref="O129">_xlfn.SWITCH(O106,"N/A","L","L","M","M","H","H","E","E","N/A")</f>
        <v>H</v>
      </c>
      <c r="P129" s="17" t="str" cm="1">
        <f t="array" ref="P129">_xlfn.SWITCH(P106,"N/A","L","L","M","M","H","H","E","E","N/A")</f>
        <v>H</v>
      </c>
      <c r="Q129" s="97" t="str" cm="1">
        <f t="array" ref="Q129">_xlfn.SWITCH(Q106,"N/A","L","L","M","M","H","H","E","E","N/A")</f>
        <v>L</v>
      </c>
      <c r="R129" s="103" t="str" cm="1">
        <f t="array" ref="R129">_xlfn.LET(_xlpm.Fin,_xlfn.XLOOKUP(K129,Exp_Shift[Rating],Exp_Shift[Number],0,0),_xlpm.Init,_xlfn.XLOOKUP(K60,Exp_Shift[Rating],Exp_Shift[Number],0,0),_xlpm.X,_xlfn.XLOOKUP(R60,Exp_Shift[[Rating]:[Rating]],Exp_Shift[[Number]:[Number]],0,0), IF(_xlpm.Fin-_xlpm.Init&gt;0, _xlfn.XLOOKUP(MIN(4,_xlpm.X+_xlpm.Fin-_xlpm.Init),Exp_Shift[[Number]:[Number]],Exp_Shift[[Rating]:[Rating]],0,0),IF(_xlpm.Fin-_xlpm.Init&lt;0,_xlfn.XLOOKUP(MAX(0,_xlpm.X-1),Exp_Shift[[Number]:[Number]],Exp_Shift[[Rating]:[Rating]],0,0),R60)))</f>
        <v>E</v>
      </c>
      <c r="S129" s="17" t="str" cm="1">
        <f t="array" ref="S129">_xlfn.LET(_xlpm.Fin,_xlfn.XLOOKUP(L129,Exp_Shift[[Rating]:[Rating]],Exp_Shift[[Number]:[Number]],0,0),_xlpm.Init,_xlfn.XLOOKUP(L60,Exp_Shift[[Rating]:[Rating]],Exp_Shift[[Number]:[Number]],0,0),_xlpm.X,_xlfn.XLOOKUP(S60,Exp_Shift[[Rating]:[Rating]],Exp_Shift[[Number]:[Number]],0,0), IF(_xlpm.Fin-_xlpm.Init&gt;0, _xlfn.XLOOKUP(MIN(4,_xlpm.X+_xlpm.Fin-_xlpm.Init),Exp_Shift[[Number]:[Number]],Exp_Shift[[Rating]:[Rating]],0,0),IF(_xlpm.Fin-_xlpm.Init&lt;0,_xlfn.XLOOKUP(MAX(0,_xlpm.X-1),Exp_Shift[[Number]:[Number]],Exp_Shift[[Rating]:[Rating]],0,0),S60)))</f>
        <v>M</v>
      </c>
      <c r="T129" s="17" t="str" cm="1">
        <f t="array" ref="T129">_xlfn.LET(_xlpm.Fin,_xlfn.XLOOKUP(M129,Exp_Shift[[Rating]:[Rating]],Exp_Shift[[Number]:[Number]],0,0),_xlpm.Init,_xlfn.XLOOKUP(M60,Exp_Shift[[Rating]:[Rating]],Exp_Shift[[Number]:[Number]],0,0),_xlpm.X,_xlfn.XLOOKUP(T60,Exp_Shift[[Rating]:[Rating]],Exp_Shift[[Number]:[Number]],0,0), IF(_xlpm.Fin-_xlpm.Init&gt;0, _xlfn.XLOOKUP(MIN(4,_xlpm.X+_xlpm.Fin-_xlpm.Init),Exp_Shift[[Number]:[Number]],Exp_Shift[[Rating]:[Rating]],0,0),IF(_xlpm.Fin-_xlpm.Init&lt;0,_xlfn.XLOOKUP(MAX(0,_xlpm.X-1),Exp_Shift[[Number]:[Number]],Exp_Shift[[Rating]:[Rating]],0,0),T60)))</f>
        <v>H</v>
      </c>
      <c r="U129" s="17" t="str" cm="1">
        <f t="array" ref="U129">_xlfn.LET(_xlpm.Fin,_xlfn.XLOOKUP(N129,Exp_Shift[[Rating]:[Rating]],Exp_Shift[[Number]:[Number]],0,0),_xlpm.Init,_xlfn.XLOOKUP(N60,Exp_Shift[[Rating]:[Rating]],Exp_Shift[[Number]:[Number]],0,0),_xlpm.X,_xlfn.XLOOKUP(U60,Exp_Shift[[Rating]:[Rating]],Exp_Shift[[Number]:[Number]],0,0), IF(_xlpm.Fin-_xlpm.Init&gt;0, _xlfn.XLOOKUP(MIN(4,_xlpm.X+_xlpm.Fin-_xlpm.Init),Exp_Shift[[Number]:[Number]],Exp_Shift[[Rating]:[Rating]],0,0),IF(_xlpm.Fin-_xlpm.Init&lt;0,_xlfn.XLOOKUP(MAX(0,_xlpm.X-1),Exp_Shift[[Number]:[Number]],Exp_Shift[[Rating]:[Rating]],0,0),U60)))</f>
        <v>M</v>
      </c>
      <c r="V129" s="17" t="str" cm="1">
        <f t="array" ref="V129">_xlfn.LET(_xlpm.Fin,_xlfn.XLOOKUP(O129,Exp_Shift[[Rating]:[Rating]],Exp_Shift[[Number]:[Number]],0,0),_xlpm.Init,_xlfn.XLOOKUP(O60,Exp_Shift[[Rating]:[Rating]],Exp_Shift[[Number]:[Number]],0,0),_xlpm.X,_xlfn.XLOOKUP(V60,Exp_Shift[[Rating]:[Rating]],Exp_Shift[[Number]:[Number]],0,0), IF(_xlpm.Fin-_xlpm.Init&gt;0, _xlfn.XLOOKUP(MIN(4,_xlpm.X+_xlpm.Fin-_xlpm.Init),Exp_Shift[[Number]:[Number]],Exp_Shift[[Rating]:[Rating]],0,0),IF(_xlpm.Fin-_xlpm.Init&lt;0,_xlfn.XLOOKUP(MAX(0,_xlpm.X-1),Exp_Shift[[Number]:[Number]],Exp_Shift[[Rating]:[Rating]],0,0),V60)))</f>
        <v>H</v>
      </c>
      <c r="W129" s="17" t="str" cm="1">
        <f t="array" ref="W129">_xlfn.LET(_xlpm.Fin,_xlfn.XLOOKUP(P129,Exp_Shift[[Rating]:[Rating]],Exp_Shift[[Number]:[Number]],0,0),_xlpm.Init,_xlfn.XLOOKUP(P60,Exp_Shift[[Rating]:[Rating]],Exp_Shift[[Number]:[Number]],0,0),_xlpm.X,_xlfn.XLOOKUP(W60,Exp_Shift[[Rating]:[Rating]],Exp_Shift[[Number]:[Number]],0,0), IF(_xlpm.Fin-_xlpm.Init&gt;0, _xlfn.XLOOKUP(MIN(4,_xlpm.X+_xlpm.Fin-_xlpm.Init),Exp_Shift[[Number]:[Number]],Exp_Shift[[Rating]:[Rating]],0,0),IF(_xlpm.Fin-_xlpm.Init&lt;0,_xlfn.XLOOKUP(MAX(0,_xlpm.X-1),Exp_Shift[[Number]:[Number]],Exp_Shift[[Rating]:[Rating]],0,0),W60)))</f>
        <v>H</v>
      </c>
      <c r="X129" s="97" t="str" cm="1">
        <f t="array" ref="X129">_xlfn.LET(_xlpm.Fin,_xlfn.XLOOKUP(Q129,Exp_Shift[[Rating]:[Rating]],Exp_Shift[[Number]:[Number]],0,0),_xlpm.Init,_xlfn.XLOOKUP(Q60,Exp_Shift[[Rating]:[Rating]],Exp_Shift[[Number]:[Number]],0,0),_xlpm.X,_xlfn.XLOOKUP(X60,Exp_Shift[[Rating]:[Rating]],Exp_Shift[[Number]:[Number]],0,0), IF(_xlpm.Fin-_xlpm.Init&gt;0, _xlfn.XLOOKUP(MIN(4,_xlpm.X+_xlpm.Fin-_xlpm.Init),Exp_Shift[[Number]:[Number]],Exp_Shift[[Rating]:[Rating]],0,0),IF(_xlpm.Fin-_xlpm.Init&lt;0,_xlfn.XLOOKUP(MAX(0,_xlpm.X-1),Exp_Shift[[Number]:[Number]],Exp_Shift[[Rating]:[Rating]],0,0),X60)))</f>
        <v>H</v>
      </c>
      <c r="Y129" s="103" t="str" cm="1">
        <f t="array" ref="Y129">_xlfn.LET(_xlpm.Fin,_xlfn.XLOOKUP(K129,Exp_Shift[Rating],Exp_Shift[Number],0,0),_xlpm.Init,_xlfn.XLOOKUP(K60,Exp_Shift[Rating],Exp_Shift[Number],0,0),_xlpm.X,_xlfn.XLOOKUP(Y60,Exp_Shift[[Rating]:[Rating]],Exp_Shift[[Number]:[Number]],0,0), IF(_xlpm.Fin-_xlpm.Init&gt;0, _xlfn.XLOOKUP(MIN(4,_xlpm.X+1),Exp_Shift[[Number]:[Number]],Exp_Shift[[Rating]:[Rating]],0,0),IF(_xlpm.Fin-_xlpm.Init&lt;0,_xlfn.XLOOKUP(MAX(0,_xlpm.X),Exp_Shift[[Number]:[Number]],Exp_Shift[[Rating]:[Rating]],0,0),Y60)))</f>
        <v>E</v>
      </c>
      <c r="Z129" s="17" t="str" cm="1">
        <f t="array" ref="Z129">_xlfn.LET(_xlpm.Fin,_xlfn.XLOOKUP(L129,Exp_Shift[[Rating]:[Rating]],Exp_Shift[[Number]:[Number]],0,0),_xlpm.Init,_xlfn.XLOOKUP(L60,Exp_Shift[[Rating]:[Rating]],Exp_Shift[[Number]:[Number]],0,0),_xlpm.X,_xlfn.XLOOKUP(Z60,Exp_Shift[[Rating]:[Rating]],Exp_Shift[[Number]:[Number]],0,0), IF(_xlpm.Fin-_xlpm.Init&gt;0, _xlfn.XLOOKUP(MIN(4,_xlpm.X+1),Exp_Shift[[Number]:[Number]],Exp_Shift[[Rating]:[Rating]],0,0),IF(_xlpm.Fin-_xlpm.Init&lt;0,_xlfn.XLOOKUP(MAX(0,_xlpm.X),Exp_Shift[[Number]:[Number]],Exp_Shift[[Rating]:[Rating]],0,0),Z60)))</f>
        <v>H</v>
      </c>
      <c r="AA129" s="17" t="str" cm="1">
        <f t="array" ref="AA129">_xlfn.LET(_xlpm.Fin,_xlfn.XLOOKUP(M129,Exp_Shift[[Rating]:[Rating]],Exp_Shift[[Number]:[Number]],0,0),_xlpm.Init,_xlfn.XLOOKUP(M60,Exp_Shift[[Rating]:[Rating]],Exp_Shift[[Number]:[Number]],0,0),_xlpm.X,_xlfn.XLOOKUP(AA60,Exp_Shift[[Rating]:[Rating]],Exp_Shift[[Number]:[Number]],0,0), IF(_xlpm.Fin-_xlpm.Init&gt;0, _xlfn.XLOOKUP(MIN(4,_xlpm.X+1),Exp_Shift[[Number]:[Number]],Exp_Shift[[Rating]:[Rating]],0,0),IF(_xlpm.Fin-_xlpm.Init&lt;0,_xlfn.XLOOKUP(MAX(0,_xlpm.X),Exp_Shift[[Number]:[Number]],Exp_Shift[[Rating]:[Rating]],0,0),AA60)))</f>
        <v>E</v>
      </c>
      <c r="AB129" s="17" t="str" cm="1">
        <f t="array" ref="AB129">_xlfn.LET(_xlpm.Fin,_xlfn.XLOOKUP(N129,Exp_Shift[[Rating]:[Rating]],Exp_Shift[[Number]:[Number]],0,0),_xlpm.Init,_xlfn.XLOOKUP(N60,Exp_Shift[[Rating]:[Rating]],Exp_Shift[[Number]:[Number]],0,0),_xlpm.X,_xlfn.XLOOKUP(AB60,Exp_Shift[[Rating]:[Rating]],Exp_Shift[[Number]:[Number]],0,0), IF(_xlpm.Fin-_xlpm.Init&gt;0, _xlfn.XLOOKUP(MIN(4,_xlpm.X+1),Exp_Shift[[Number]:[Number]],Exp_Shift[[Rating]:[Rating]],0,0),IF(_xlpm.Fin-_xlpm.Init&lt;0,_xlfn.XLOOKUP(MAX(0,_xlpm.X),Exp_Shift[[Number]:[Number]],Exp_Shift[[Rating]:[Rating]],0,0),AB60)))</f>
        <v>E</v>
      </c>
      <c r="AC129" s="17" t="str" cm="1">
        <f t="array" ref="AC129">_xlfn.LET(_xlpm.Fin,_xlfn.XLOOKUP(O129,Exp_Shift[[Rating]:[Rating]],Exp_Shift[[Number]:[Number]],0,0),_xlpm.Init,_xlfn.XLOOKUP(O60,Exp_Shift[[Rating]:[Rating]],Exp_Shift[[Number]:[Number]],0,0),_xlpm.X,_xlfn.XLOOKUP(AC60,Exp_Shift[[Rating]:[Rating]],Exp_Shift[[Number]:[Number]],0,0), IF(_xlpm.Fin-_xlpm.Init&gt;0, _xlfn.XLOOKUP(MIN(4,_xlpm.X+1),Exp_Shift[[Number]:[Number]],Exp_Shift[[Rating]:[Rating]],0,0),IF(_xlpm.Fin-_xlpm.Init&lt;0,_xlfn.XLOOKUP(MAX(0,_xlpm.X),Exp_Shift[[Number]:[Number]],Exp_Shift[[Rating]:[Rating]],0,0),AC60)))</f>
        <v>L</v>
      </c>
      <c r="AD129" s="17" t="str" cm="1">
        <f t="array" ref="AD129">_xlfn.LET(_xlpm.Fin,_xlfn.XLOOKUP(P129,Exp_Shift[[Rating]:[Rating]],Exp_Shift[[Number]:[Number]],0,0),_xlpm.Init,_xlfn.XLOOKUP(P60,Exp_Shift[[Rating]:[Rating]],Exp_Shift[[Number]:[Number]],0,0),_xlpm.X,_xlfn.XLOOKUP(AD60,Exp_Shift[[Rating]:[Rating]],Exp_Shift[[Number]:[Number]],0,0), IF(_xlpm.Fin-_xlpm.Init&gt;0, _xlfn.XLOOKUP(MIN(4,_xlpm.X+1),Exp_Shift[[Number]:[Number]],Exp_Shift[[Rating]:[Rating]],0,0),IF(_xlpm.Fin-_xlpm.Init&lt;0,_xlfn.XLOOKUP(MAX(0,_xlpm.X),Exp_Shift[[Number]:[Number]],Exp_Shift[[Rating]:[Rating]],0,0),AD60)))</f>
        <v>L</v>
      </c>
      <c r="AE129" s="341" t="str" cm="1">
        <f t="array" ref="AE129">_xlfn.LET(_xlpm.Fin,_xlfn.XLOOKUP(Q129,Exp_Shift[[Rating]:[Rating]],Exp_Shift[[Number]:[Number]],0,0),_xlpm.Init,_xlfn.XLOOKUP(Q60,Exp_Shift[[Rating]:[Rating]],Exp_Shift[[Number]:[Number]],0,0),_xlpm.X,_xlfn.XLOOKUP(AE60,Exp_Shift[[Rating]:[Rating]],Exp_Shift[[Number]:[Number]],0,0), IF(_xlpm.Fin-_xlpm.Init&gt;0, _xlfn.XLOOKUP(MIN(4,_xlpm.X+1),Exp_Shift[[Number]:[Number]],Exp_Shift[[Rating]:[Rating]],0,0),IF(_xlpm.Fin-_xlpm.Init&lt;0,_xlfn.XLOOKUP(MAX(0,_xlpm.X),Exp_Shift[[Number]:[Number]],Exp_Shift[[Rating]:[Rating]],0,0),AE60)))</f>
        <v>E</v>
      </c>
    </row>
    <row r="130" spans="8:31" ht="18" x14ac:dyDescent="0.35">
      <c r="H130" s="26">
        <v>73</v>
      </c>
      <c r="I130" s="331" t="s">
        <v>120</v>
      </c>
      <c r="J130" s="326" t="s">
        <v>210</v>
      </c>
      <c r="K130" s="23" t="str" cm="1">
        <f t="array" ref="K130">_xlfn.SWITCH(K107,"N/A","L","L","M","M","H","H","E","E","N/A")</f>
        <v>N/A</v>
      </c>
      <c r="L130" t="str" cm="1">
        <f t="array" ref="L130">_xlfn.SWITCH(L107,"N/A","L","L","M","M","H","H","E","E","N/A")</f>
        <v>N/A</v>
      </c>
      <c r="M130" t="str" cm="1">
        <f t="array" ref="M130">_xlfn.SWITCH(M107,"N/A","L","L","M","M","H","H","E","E","N/A")</f>
        <v>L</v>
      </c>
      <c r="N130" t="str" cm="1">
        <f t="array" ref="N130">_xlfn.SWITCH(N107,"N/A","L","L","M","M","H","H","E","E","N/A")</f>
        <v>N/A</v>
      </c>
      <c r="O130" t="str" cm="1">
        <f t="array" ref="O130">_xlfn.SWITCH(O107,"N/A","L","L","M","M","H","H","E","E","N/A")</f>
        <v>H</v>
      </c>
      <c r="P130" t="str" cm="1">
        <f t="array" ref="P130">_xlfn.SWITCH(P107,"N/A","L","L","M","M","H","H","E","E","N/A")</f>
        <v>H</v>
      </c>
      <c r="Q130" s="19" t="str" cm="1">
        <f t="array" ref="Q130">_xlfn.SWITCH(Q107,"N/A","L","L","M","M","H","H","E","E","N/A")</f>
        <v>N/A</v>
      </c>
      <c r="R130" s="23" t="str" cm="1">
        <f t="array" ref="R130">_xlfn.LET(_xlpm.Fin,_xlfn.XLOOKUP(K130,Exp_Shift[[Rating]:[Rating]],Exp_Shift[[Number]:[Number]],0,0),_xlpm.Init,_xlfn.XLOOKUP(K61,Exp_Shift[[Rating]:[Rating]],Exp_Shift[[Number]:[Number]],0,0),_xlpm.X,_xlfn.XLOOKUP(R61,Exp_Shift[[Rating]:[Rating]],Exp_Shift[[Number]:[Number]],0,0), IF(_xlpm.Fin-_xlpm.Init&gt;0, _xlfn.XLOOKUP(MIN(4,_xlpm.X+_xlpm.Fin-_xlpm.Init),Exp_Shift[[Number]:[Number]],Exp_Shift[[Rating]:[Rating]],0,0),IF(_xlpm.Fin-_xlpm.Init&lt;0,_xlfn.XLOOKUP(MAX(0,_xlpm.X-1),Exp_Shift[[Number]:[Number]],Exp_Shift[[Rating]:[Rating]],0,0),R61)))</f>
        <v>M</v>
      </c>
      <c r="S130" t="str" cm="1">
        <f t="array" ref="S130">_xlfn.LET(_xlpm.Fin,_xlfn.XLOOKUP(L130,Exp_Shift[[Rating]:[Rating]],Exp_Shift[[Number]:[Number]],0,0),_xlpm.Init,_xlfn.XLOOKUP(L61,Exp_Shift[[Rating]:[Rating]],Exp_Shift[[Number]:[Number]],0,0),_xlpm.X,_xlfn.XLOOKUP(S61,Exp_Shift[[Rating]:[Rating]],Exp_Shift[[Number]:[Number]],0,0), IF(_xlpm.Fin-_xlpm.Init&gt;0, _xlfn.XLOOKUP(MIN(4,_xlpm.X+_xlpm.Fin-_xlpm.Init),Exp_Shift[[Number]:[Number]],Exp_Shift[[Rating]:[Rating]],0,0),IF(_xlpm.Fin-_xlpm.Init&lt;0,_xlfn.XLOOKUP(MAX(0,_xlpm.X-1),Exp_Shift[[Number]:[Number]],Exp_Shift[[Rating]:[Rating]],0,0),S61)))</f>
        <v>L</v>
      </c>
      <c r="T130" t="str" cm="1">
        <f t="array" ref="T130">_xlfn.LET(_xlpm.Fin,_xlfn.XLOOKUP(M130,Exp_Shift[[Rating]:[Rating]],Exp_Shift[[Number]:[Number]],0,0),_xlpm.Init,_xlfn.XLOOKUP(M61,Exp_Shift[[Rating]:[Rating]],Exp_Shift[[Number]:[Number]],0,0),_xlpm.X,_xlfn.XLOOKUP(T61,Exp_Shift[[Rating]:[Rating]],Exp_Shift[[Number]:[Number]],0,0), IF(_xlpm.Fin-_xlpm.Init&gt;0, _xlfn.XLOOKUP(MIN(4,_xlpm.X+_xlpm.Fin-_xlpm.Init),Exp_Shift[[Number]:[Number]],Exp_Shift[[Rating]:[Rating]],0,0),IF(_xlpm.Fin-_xlpm.Init&lt;0,_xlfn.XLOOKUP(MAX(0,_xlpm.X-1),Exp_Shift[[Number]:[Number]],Exp_Shift[[Rating]:[Rating]],0,0),T61)))</f>
        <v>H</v>
      </c>
      <c r="U130" t="str" cm="1">
        <f t="array" ref="U130">_xlfn.LET(_xlpm.Fin,_xlfn.XLOOKUP(N130,Exp_Shift[[Rating]:[Rating]],Exp_Shift[[Number]:[Number]],0,0),_xlpm.Init,_xlfn.XLOOKUP(N61,Exp_Shift[[Rating]:[Rating]],Exp_Shift[[Number]:[Number]],0,0),_xlpm.X,_xlfn.XLOOKUP(U61,Exp_Shift[[Rating]:[Rating]],Exp_Shift[[Number]:[Number]],0,0), IF(_xlpm.Fin-_xlpm.Init&gt;0, _xlfn.XLOOKUP(MIN(4,_xlpm.X+_xlpm.Fin-_xlpm.Init),Exp_Shift[[Number]:[Number]],Exp_Shift[[Rating]:[Rating]],0,0),IF(_xlpm.Fin-_xlpm.Init&lt;0,_xlfn.XLOOKUP(MAX(0,_xlpm.X-1),Exp_Shift[[Number]:[Number]],Exp_Shift[[Rating]:[Rating]],0,0),U61)))</f>
        <v>M</v>
      </c>
      <c r="V130" t="str" cm="1">
        <f t="array" ref="V130">_xlfn.LET(_xlpm.Fin,_xlfn.XLOOKUP(O130,Exp_Shift[[Rating]:[Rating]],Exp_Shift[[Number]:[Number]],0,0),_xlpm.Init,_xlfn.XLOOKUP(O61,Exp_Shift[[Rating]:[Rating]],Exp_Shift[[Number]:[Number]],0,0),_xlpm.X,_xlfn.XLOOKUP(V61,Exp_Shift[[Rating]:[Rating]],Exp_Shift[[Number]:[Number]],0,0), IF(_xlpm.Fin-_xlpm.Init&gt;0, _xlfn.XLOOKUP(MIN(4,_xlpm.X+_xlpm.Fin-_xlpm.Init),Exp_Shift[[Number]:[Number]],Exp_Shift[[Rating]:[Rating]],0,0),IF(_xlpm.Fin-_xlpm.Init&lt;0,_xlfn.XLOOKUP(MAX(0,_xlpm.X-1),Exp_Shift[[Number]:[Number]],Exp_Shift[[Rating]:[Rating]],0,0),V61)))</f>
        <v>H</v>
      </c>
      <c r="W130" t="str" cm="1">
        <f t="array" ref="W130">_xlfn.LET(_xlpm.Fin,_xlfn.XLOOKUP(P130,Exp_Shift[[Rating]:[Rating]],Exp_Shift[[Number]:[Number]],0,0),_xlpm.Init,_xlfn.XLOOKUP(P61,Exp_Shift[[Rating]:[Rating]],Exp_Shift[[Number]:[Number]],0,0),_xlpm.X,_xlfn.XLOOKUP(W61,Exp_Shift[[Rating]:[Rating]],Exp_Shift[[Number]:[Number]],0,0), IF(_xlpm.Fin-_xlpm.Init&gt;0, _xlfn.XLOOKUP(MIN(4,_xlpm.X+_xlpm.Fin-_xlpm.Init),Exp_Shift[[Number]:[Number]],Exp_Shift[[Rating]:[Rating]],0,0),IF(_xlpm.Fin-_xlpm.Init&lt;0,_xlfn.XLOOKUP(MAX(0,_xlpm.X-1),Exp_Shift[[Number]:[Number]],Exp_Shift[[Rating]:[Rating]],0,0),W61)))</f>
        <v>H</v>
      </c>
      <c r="X130" s="19" t="str" cm="1">
        <f t="array" ref="X130">_xlfn.LET(_xlpm.Fin,_xlfn.XLOOKUP(Q130,Exp_Shift[[Rating]:[Rating]],Exp_Shift[[Number]:[Number]],0,0),_xlpm.Init,_xlfn.XLOOKUP(Q61,Exp_Shift[[Rating]:[Rating]],Exp_Shift[[Number]:[Number]],0,0),_xlpm.X,_xlfn.XLOOKUP(X61,Exp_Shift[[Rating]:[Rating]],Exp_Shift[[Number]:[Number]],0,0), IF(_xlpm.Fin-_xlpm.Init&gt;0, _xlfn.XLOOKUP(MIN(4,_xlpm.X+_xlpm.Fin-_xlpm.Init),Exp_Shift[[Number]:[Number]],Exp_Shift[[Rating]:[Rating]],0,0),IF(_xlpm.Fin-_xlpm.Init&lt;0,_xlfn.XLOOKUP(MAX(0,_xlpm.X-1),Exp_Shift[[Number]:[Number]],Exp_Shift[[Rating]:[Rating]],0,0),X61)))</f>
        <v>M</v>
      </c>
      <c r="Y130" s="23" t="str" cm="1">
        <f t="array" ref="Y130">_xlfn.LET(_xlpm.Fin,_xlfn.XLOOKUP(K130,Exp_Shift[[Rating]:[Rating]],Exp_Shift[[Number]:[Number]],0,0),_xlpm.Init,_xlfn.XLOOKUP(K61,Exp_Shift[[Rating]:[Rating]],Exp_Shift[[Number]:[Number]],0,0),_xlpm.X,_xlfn.XLOOKUP(Y61,Exp_Shift[[Rating]:[Rating]],Exp_Shift[[Number]:[Number]],0,0), IF(_xlpm.Fin-_xlpm.Init&gt;0, _xlfn.XLOOKUP(MIN(4,_xlpm.X+1),Exp_Shift[[Number]:[Number]],Exp_Shift[[Rating]:[Rating]],0,0),IF(_xlpm.Fin-_xlpm.Init&lt;0,_xlfn.XLOOKUP(MAX(0,_xlpm.X),Exp_Shift[[Number]:[Number]],Exp_Shift[[Rating]:[Rating]],0,0),Y61)))</f>
        <v>E</v>
      </c>
      <c r="Z130" t="str" cm="1">
        <f t="array" ref="Z130">_xlfn.LET(_xlpm.Fin,_xlfn.XLOOKUP(L130,Exp_Shift[[Rating]:[Rating]],Exp_Shift[[Number]:[Number]],0,0),_xlpm.Init,_xlfn.XLOOKUP(L61,Exp_Shift[[Rating]:[Rating]],Exp_Shift[[Number]:[Number]],0,0),_xlpm.X,_xlfn.XLOOKUP(Z61,Exp_Shift[[Rating]:[Rating]],Exp_Shift[[Number]:[Number]],0,0), IF(_xlpm.Fin-_xlpm.Init&gt;0, _xlfn.XLOOKUP(MIN(4,_xlpm.X+1),Exp_Shift[[Number]:[Number]],Exp_Shift[[Rating]:[Rating]],0,0),IF(_xlpm.Fin-_xlpm.Init&lt;0,_xlfn.XLOOKUP(MAX(0,_xlpm.X),Exp_Shift[[Number]:[Number]],Exp_Shift[[Rating]:[Rating]],0,0),Z61)))</f>
        <v>H</v>
      </c>
      <c r="AA130" t="str" cm="1">
        <f t="array" ref="AA130">_xlfn.LET(_xlpm.Fin,_xlfn.XLOOKUP(M130,Exp_Shift[[Rating]:[Rating]],Exp_Shift[[Number]:[Number]],0,0),_xlpm.Init,_xlfn.XLOOKUP(M61,Exp_Shift[[Rating]:[Rating]],Exp_Shift[[Number]:[Number]],0,0),_xlpm.X,_xlfn.XLOOKUP(AA61,Exp_Shift[[Rating]:[Rating]],Exp_Shift[[Number]:[Number]],0,0), IF(_xlpm.Fin-_xlpm.Init&gt;0, _xlfn.XLOOKUP(MIN(4,_xlpm.X+1),Exp_Shift[[Number]:[Number]],Exp_Shift[[Rating]:[Rating]],0,0),IF(_xlpm.Fin-_xlpm.Init&lt;0,_xlfn.XLOOKUP(MAX(0,_xlpm.X),Exp_Shift[[Number]:[Number]],Exp_Shift[[Rating]:[Rating]],0,0),AA61)))</f>
        <v>E</v>
      </c>
      <c r="AB130" t="str" cm="1">
        <f t="array" ref="AB130">_xlfn.LET(_xlpm.Fin,_xlfn.XLOOKUP(N130,Exp_Shift[[Rating]:[Rating]],Exp_Shift[[Number]:[Number]],0,0),_xlpm.Init,_xlfn.XLOOKUP(N61,Exp_Shift[[Rating]:[Rating]],Exp_Shift[[Number]:[Number]],0,0),_xlpm.X,_xlfn.XLOOKUP(AB61,Exp_Shift[[Rating]:[Rating]],Exp_Shift[[Number]:[Number]],0,0), IF(_xlpm.Fin-_xlpm.Init&gt;0, _xlfn.XLOOKUP(MIN(4,_xlpm.X+1),Exp_Shift[[Number]:[Number]],Exp_Shift[[Rating]:[Rating]],0,0),IF(_xlpm.Fin-_xlpm.Init&lt;0,_xlfn.XLOOKUP(MAX(0,_xlpm.X),Exp_Shift[[Number]:[Number]],Exp_Shift[[Rating]:[Rating]],0,0),AB61)))</f>
        <v>E</v>
      </c>
      <c r="AC130" t="str" cm="1">
        <f t="array" ref="AC130">_xlfn.LET(_xlpm.Fin,_xlfn.XLOOKUP(O130,Exp_Shift[[Rating]:[Rating]],Exp_Shift[[Number]:[Number]],0,0),_xlpm.Init,_xlfn.XLOOKUP(O61,Exp_Shift[[Rating]:[Rating]],Exp_Shift[[Number]:[Number]],0,0),_xlpm.X,_xlfn.XLOOKUP(AC61,Exp_Shift[[Rating]:[Rating]],Exp_Shift[[Number]:[Number]],0,0), IF(_xlpm.Fin-_xlpm.Init&gt;0, _xlfn.XLOOKUP(MIN(4,_xlpm.X+1),Exp_Shift[[Number]:[Number]],Exp_Shift[[Rating]:[Rating]],0,0),IF(_xlpm.Fin-_xlpm.Init&lt;0,_xlfn.XLOOKUP(MAX(0,_xlpm.X),Exp_Shift[[Number]:[Number]],Exp_Shift[[Rating]:[Rating]],0,0),AC61)))</f>
        <v>L</v>
      </c>
      <c r="AD130" t="str" cm="1">
        <f t="array" ref="AD130">_xlfn.LET(_xlpm.Fin,_xlfn.XLOOKUP(P130,Exp_Shift[[Rating]:[Rating]],Exp_Shift[[Number]:[Number]],0,0),_xlpm.Init,_xlfn.XLOOKUP(P61,Exp_Shift[[Rating]:[Rating]],Exp_Shift[[Number]:[Number]],0,0),_xlpm.X,_xlfn.XLOOKUP(AD61,Exp_Shift[[Rating]:[Rating]],Exp_Shift[[Number]:[Number]],0,0), IF(_xlpm.Fin-_xlpm.Init&gt;0, _xlfn.XLOOKUP(MIN(4,_xlpm.X+1),Exp_Shift[[Number]:[Number]],Exp_Shift[[Rating]:[Rating]],0,0),IF(_xlpm.Fin-_xlpm.Init&lt;0,_xlfn.XLOOKUP(MAX(0,_xlpm.X),Exp_Shift[[Number]:[Number]],Exp_Shift[[Rating]:[Rating]],0,0),AD61)))</f>
        <v>L</v>
      </c>
      <c r="AE130" s="27" t="str" cm="1">
        <f t="array" ref="AE130">_xlfn.LET(_xlpm.Fin,_xlfn.XLOOKUP(Q130,Exp_Shift[[Rating]:[Rating]],Exp_Shift[[Number]:[Number]],0,0),_xlpm.Init,_xlfn.XLOOKUP(Q61,Exp_Shift[[Rating]:[Rating]],Exp_Shift[[Number]:[Number]],0,0),_xlpm.X,_xlfn.XLOOKUP(AE61,Exp_Shift[[Rating]:[Rating]],Exp_Shift[[Number]:[Number]],0,0), IF(_xlpm.Fin-_xlpm.Init&gt;0, _xlfn.XLOOKUP(MIN(4,_xlpm.X+1),Exp_Shift[[Number]:[Number]],Exp_Shift[[Rating]:[Rating]],0,0),IF(_xlpm.Fin-_xlpm.Init&lt;0,_xlfn.XLOOKUP(MAX(0,_xlpm.X),Exp_Shift[[Number]:[Number]],Exp_Shift[[Rating]:[Rating]],0,0),AE61)))</f>
        <v>E</v>
      </c>
    </row>
    <row r="131" spans="8:31" ht="18" x14ac:dyDescent="0.35">
      <c r="H131" s="26">
        <v>74</v>
      </c>
      <c r="I131" s="332" t="s">
        <v>120</v>
      </c>
      <c r="J131" s="328" t="s">
        <v>218</v>
      </c>
      <c r="K131" s="23" t="str" cm="1">
        <f t="array" ref="K131">_xlfn.SWITCH(K108,"N/A","L","L","M","M","H","H","E","E","N/A")</f>
        <v>N/A</v>
      </c>
      <c r="L131" t="str" cm="1">
        <f t="array" ref="L131">_xlfn.SWITCH(L108,"N/A","L","L","M","M","H","H","E","E","N/A")</f>
        <v>N/A</v>
      </c>
      <c r="M131" t="str" cm="1">
        <f t="array" ref="M131">_xlfn.SWITCH(M108,"N/A","L","L","M","M","H","H","E","E","N/A")</f>
        <v>L</v>
      </c>
      <c r="N131" t="str" cm="1">
        <f t="array" ref="N131">_xlfn.SWITCH(N108,"N/A","L","L","M","M","H","H","E","E","N/A")</f>
        <v>E</v>
      </c>
      <c r="O131" t="str" cm="1">
        <f t="array" ref="O131">_xlfn.SWITCH(O108,"N/A","L","L","M","M","H","H","E","E","N/A")</f>
        <v>H</v>
      </c>
      <c r="P131" t="str" cm="1">
        <f t="array" ref="P131">_xlfn.SWITCH(P108,"N/A","L","L","M","M","H","H","E","E","N/A")</f>
        <v>N/A</v>
      </c>
      <c r="Q131" s="19" t="str" cm="1">
        <f t="array" ref="Q131">_xlfn.SWITCH(Q108,"N/A","L","L","M","M","H","H","E","E","N/A")</f>
        <v>N/A</v>
      </c>
      <c r="R131" s="23" t="str" cm="1">
        <f t="array" ref="R131">_xlfn.LET(_xlpm.Fin,_xlfn.XLOOKUP(K131,Exp_Shift[[Rating]:[Rating]],Exp_Shift[[Number]:[Number]],0,0),_xlpm.Init,_xlfn.XLOOKUP(K62,Exp_Shift[[Rating]:[Rating]],Exp_Shift[[Number]:[Number]],0,0),_xlpm.X,_xlfn.XLOOKUP(R62,Exp_Shift[[Rating]:[Rating]],Exp_Shift[[Number]:[Number]],0,0), IF(_xlpm.Fin-_xlpm.Init&gt;0, _xlfn.XLOOKUP(MIN(4,_xlpm.X+_xlpm.Fin-_xlpm.Init),Exp_Shift[[Number]:[Number]],Exp_Shift[[Rating]:[Rating]],0,0),IF(_xlpm.Fin-_xlpm.Init&lt;0,_xlfn.XLOOKUP(MAX(0,_xlpm.X-1),Exp_Shift[[Number]:[Number]],Exp_Shift[[Rating]:[Rating]],0,0),R62)))</f>
        <v>M</v>
      </c>
      <c r="S131" t="str" cm="1">
        <f t="array" ref="S131">_xlfn.LET(_xlpm.Fin,_xlfn.XLOOKUP(L131,Exp_Shift[[Rating]:[Rating]],Exp_Shift[[Number]:[Number]],0,0),_xlpm.Init,_xlfn.XLOOKUP(L62,Exp_Shift[[Rating]:[Rating]],Exp_Shift[[Number]:[Number]],0,0),_xlpm.X,_xlfn.XLOOKUP(S62,Exp_Shift[[Rating]:[Rating]],Exp_Shift[[Number]:[Number]],0,0), IF(_xlpm.Fin-_xlpm.Init&gt;0, _xlfn.XLOOKUP(MIN(4,_xlpm.X+_xlpm.Fin-_xlpm.Init),Exp_Shift[[Number]:[Number]],Exp_Shift[[Rating]:[Rating]],0,0),IF(_xlpm.Fin-_xlpm.Init&lt;0,_xlfn.XLOOKUP(MAX(0,_xlpm.X-1),Exp_Shift[[Number]:[Number]],Exp_Shift[[Rating]:[Rating]],0,0),S62)))</f>
        <v>L</v>
      </c>
      <c r="T131" t="str" cm="1">
        <f t="array" ref="T131">_xlfn.LET(_xlpm.Fin,_xlfn.XLOOKUP(M131,Exp_Shift[[Rating]:[Rating]],Exp_Shift[[Number]:[Number]],0,0),_xlpm.Init,_xlfn.XLOOKUP(M62,Exp_Shift[[Rating]:[Rating]],Exp_Shift[[Number]:[Number]],0,0),_xlpm.X,_xlfn.XLOOKUP(T62,Exp_Shift[[Rating]:[Rating]],Exp_Shift[[Number]:[Number]],0,0), IF(_xlpm.Fin-_xlpm.Init&gt;0, _xlfn.XLOOKUP(MIN(4,_xlpm.X+_xlpm.Fin-_xlpm.Init),Exp_Shift[[Number]:[Number]],Exp_Shift[[Rating]:[Rating]],0,0),IF(_xlpm.Fin-_xlpm.Init&lt;0,_xlfn.XLOOKUP(MAX(0,_xlpm.X-1),Exp_Shift[[Number]:[Number]],Exp_Shift[[Rating]:[Rating]],0,0),T62)))</f>
        <v>H</v>
      </c>
      <c r="U131" t="str" cm="1">
        <f t="array" ref="U131">_xlfn.LET(_xlpm.Fin,_xlfn.XLOOKUP(N131,Exp_Shift[[Rating]:[Rating]],Exp_Shift[[Number]:[Number]],0,0),_xlpm.Init,_xlfn.XLOOKUP(N62,Exp_Shift[[Rating]:[Rating]],Exp_Shift[[Number]:[Number]],0,0),_xlpm.X,_xlfn.XLOOKUP(U62,Exp_Shift[[Rating]:[Rating]],Exp_Shift[[Number]:[Number]],0,0), IF(_xlpm.Fin-_xlpm.Init&gt;0, _xlfn.XLOOKUP(MIN(4,_xlpm.X+_xlpm.Fin-_xlpm.Init),Exp_Shift[[Number]:[Number]],Exp_Shift[[Rating]:[Rating]],0,0),IF(_xlpm.Fin-_xlpm.Init&lt;0,_xlfn.XLOOKUP(MAX(0,_xlpm.X-1),Exp_Shift[[Number]:[Number]],Exp_Shift[[Rating]:[Rating]],0,0),U62)))</f>
        <v>E</v>
      </c>
      <c r="V131" t="str" cm="1">
        <f t="array" ref="V131">_xlfn.LET(_xlpm.Fin,_xlfn.XLOOKUP(O131,Exp_Shift[[Rating]:[Rating]],Exp_Shift[[Number]:[Number]],0,0),_xlpm.Init,_xlfn.XLOOKUP(O62,Exp_Shift[[Rating]:[Rating]],Exp_Shift[[Number]:[Number]],0,0),_xlpm.X,_xlfn.XLOOKUP(V62,Exp_Shift[[Rating]:[Rating]],Exp_Shift[[Number]:[Number]],0,0), IF(_xlpm.Fin-_xlpm.Init&gt;0, _xlfn.XLOOKUP(MIN(4,_xlpm.X+_xlpm.Fin-_xlpm.Init),Exp_Shift[[Number]:[Number]],Exp_Shift[[Rating]:[Rating]],0,0),IF(_xlpm.Fin-_xlpm.Init&lt;0,_xlfn.XLOOKUP(MAX(0,_xlpm.X-1),Exp_Shift[[Number]:[Number]],Exp_Shift[[Rating]:[Rating]],0,0),V62)))</f>
        <v>H</v>
      </c>
      <c r="W131" t="str" cm="1">
        <f t="array" ref="W131">_xlfn.LET(_xlpm.Fin,_xlfn.XLOOKUP(P131,Exp_Shift[[Rating]:[Rating]],Exp_Shift[[Number]:[Number]],0,0),_xlpm.Init,_xlfn.XLOOKUP(P62,Exp_Shift[[Rating]:[Rating]],Exp_Shift[[Number]:[Number]],0,0),_xlpm.X,_xlfn.XLOOKUP(W62,Exp_Shift[[Rating]:[Rating]],Exp_Shift[[Number]:[Number]],0,0), IF(_xlpm.Fin-_xlpm.Init&gt;0, _xlfn.XLOOKUP(MIN(4,_xlpm.X+_xlpm.Fin-_xlpm.Init),Exp_Shift[[Number]:[Number]],Exp_Shift[[Rating]:[Rating]],0,0),IF(_xlpm.Fin-_xlpm.Init&lt;0,_xlfn.XLOOKUP(MAX(0,_xlpm.X-1),Exp_Shift[[Number]:[Number]],Exp_Shift[[Rating]:[Rating]],0,0),W62)))</f>
        <v>M</v>
      </c>
      <c r="X131" s="19" t="str" cm="1">
        <f t="array" ref="X131">_xlfn.LET(_xlpm.Fin,_xlfn.XLOOKUP(Q131,Exp_Shift[[Rating]:[Rating]],Exp_Shift[[Number]:[Number]],0,0),_xlpm.Init,_xlfn.XLOOKUP(Q62,Exp_Shift[[Rating]:[Rating]],Exp_Shift[[Number]:[Number]],0,0),_xlpm.X,_xlfn.XLOOKUP(X62,Exp_Shift[[Rating]:[Rating]],Exp_Shift[[Number]:[Number]],0,0), IF(_xlpm.Fin-_xlpm.Init&gt;0, _xlfn.XLOOKUP(MIN(4,_xlpm.X+_xlpm.Fin-_xlpm.Init),Exp_Shift[[Number]:[Number]],Exp_Shift[[Rating]:[Rating]],0,0),IF(_xlpm.Fin-_xlpm.Init&lt;0,_xlfn.XLOOKUP(MAX(0,_xlpm.X-1),Exp_Shift[[Number]:[Number]],Exp_Shift[[Rating]:[Rating]],0,0),X62)))</f>
        <v>M</v>
      </c>
      <c r="Y131" s="23" t="str" cm="1">
        <f t="array" ref="Y131">_xlfn.LET(_xlpm.Fin,_xlfn.XLOOKUP(K131,Exp_Shift[[Rating]:[Rating]],Exp_Shift[[Number]:[Number]],0,0),_xlpm.Init,_xlfn.XLOOKUP(K62,Exp_Shift[[Rating]:[Rating]],Exp_Shift[[Number]:[Number]],0,0),_xlpm.X,_xlfn.XLOOKUP(Y62,Exp_Shift[[Rating]:[Rating]],Exp_Shift[[Number]:[Number]],0,0), IF(_xlpm.Fin-_xlpm.Init&gt;0, _xlfn.XLOOKUP(MIN(4,_xlpm.X+1),Exp_Shift[[Number]:[Number]],Exp_Shift[[Rating]:[Rating]],0,0),IF(_xlpm.Fin-_xlpm.Init&lt;0,_xlfn.XLOOKUP(MAX(0,_xlpm.X),Exp_Shift[[Number]:[Number]],Exp_Shift[[Rating]:[Rating]],0,0),Y62)))</f>
        <v>E</v>
      </c>
      <c r="Z131" t="str" cm="1">
        <f t="array" ref="Z131">_xlfn.LET(_xlpm.Fin,_xlfn.XLOOKUP(L131,Exp_Shift[[Rating]:[Rating]],Exp_Shift[[Number]:[Number]],0,0),_xlpm.Init,_xlfn.XLOOKUP(L62,Exp_Shift[[Rating]:[Rating]],Exp_Shift[[Number]:[Number]],0,0),_xlpm.X,_xlfn.XLOOKUP(Z62,Exp_Shift[[Rating]:[Rating]],Exp_Shift[[Number]:[Number]],0,0), IF(_xlpm.Fin-_xlpm.Init&gt;0, _xlfn.XLOOKUP(MIN(4,_xlpm.X+1),Exp_Shift[[Number]:[Number]],Exp_Shift[[Rating]:[Rating]],0,0),IF(_xlpm.Fin-_xlpm.Init&lt;0,_xlfn.XLOOKUP(MAX(0,_xlpm.X),Exp_Shift[[Number]:[Number]],Exp_Shift[[Rating]:[Rating]],0,0),Z62)))</f>
        <v>H</v>
      </c>
      <c r="AA131" t="str" cm="1">
        <f t="array" ref="AA131">_xlfn.LET(_xlpm.Fin,_xlfn.XLOOKUP(M131,Exp_Shift[[Rating]:[Rating]],Exp_Shift[[Number]:[Number]],0,0),_xlpm.Init,_xlfn.XLOOKUP(M62,Exp_Shift[[Rating]:[Rating]],Exp_Shift[[Number]:[Number]],0,0),_xlpm.X,_xlfn.XLOOKUP(AA62,Exp_Shift[[Rating]:[Rating]],Exp_Shift[[Number]:[Number]],0,0), IF(_xlpm.Fin-_xlpm.Init&gt;0, _xlfn.XLOOKUP(MIN(4,_xlpm.X+1),Exp_Shift[[Number]:[Number]],Exp_Shift[[Rating]:[Rating]],0,0),IF(_xlpm.Fin-_xlpm.Init&lt;0,_xlfn.XLOOKUP(MAX(0,_xlpm.X),Exp_Shift[[Number]:[Number]],Exp_Shift[[Rating]:[Rating]],0,0),AA62)))</f>
        <v>E</v>
      </c>
      <c r="AB131" t="str" cm="1">
        <f t="array" ref="AB131">_xlfn.LET(_xlpm.Fin,_xlfn.XLOOKUP(N131,Exp_Shift[[Rating]:[Rating]],Exp_Shift[[Number]:[Number]],0,0),_xlpm.Init,_xlfn.XLOOKUP(N62,Exp_Shift[[Rating]:[Rating]],Exp_Shift[[Number]:[Number]],0,0),_xlpm.X,_xlfn.XLOOKUP(AB62,Exp_Shift[[Rating]:[Rating]],Exp_Shift[[Number]:[Number]],0,0), IF(_xlpm.Fin-_xlpm.Init&gt;0, _xlfn.XLOOKUP(MIN(4,_xlpm.X+1),Exp_Shift[[Number]:[Number]],Exp_Shift[[Rating]:[Rating]],0,0),IF(_xlpm.Fin-_xlpm.Init&lt;0,_xlfn.XLOOKUP(MAX(0,_xlpm.X),Exp_Shift[[Number]:[Number]],Exp_Shift[[Rating]:[Rating]],0,0),AB62)))</f>
        <v>H</v>
      </c>
      <c r="AC131" t="str" cm="1">
        <f t="array" ref="AC131">_xlfn.LET(_xlpm.Fin,_xlfn.XLOOKUP(O131,Exp_Shift[[Rating]:[Rating]],Exp_Shift[[Number]:[Number]],0,0),_xlpm.Init,_xlfn.XLOOKUP(O62,Exp_Shift[[Rating]:[Rating]],Exp_Shift[[Number]:[Number]],0,0),_xlpm.X,_xlfn.XLOOKUP(AC62,Exp_Shift[[Rating]:[Rating]],Exp_Shift[[Number]:[Number]],0,0), IF(_xlpm.Fin-_xlpm.Init&gt;0, _xlfn.XLOOKUP(MIN(4,_xlpm.X+1),Exp_Shift[[Number]:[Number]],Exp_Shift[[Rating]:[Rating]],0,0),IF(_xlpm.Fin-_xlpm.Init&lt;0,_xlfn.XLOOKUP(MAX(0,_xlpm.X),Exp_Shift[[Number]:[Number]],Exp_Shift[[Rating]:[Rating]],0,0),AC62)))</f>
        <v>L</v>
      </c>
      <c r="AD131" t="str" cm="1">
        <f t="array" ref="AD131">_xlfn.LET(_xlpm.Fin,_xlfn.XLOOKUP(P131,Exp_Shift[[Rating]:[Rating]],Exp_Shift[[Number]:[Number]],0,0),_xlpm.Init,_xlfn.XLOOKUP(P62,Exp_Shift[[Rating]:[Rating]],Exp_Shift[[Number]:[Number]],0,0),_xlpm.X,_xlfn.XLOOKUP(AD62,Exp_Shift[[Rating]:[Rating]],Exp_Shift[[Number]:[Number]],0,0), IF(_xlpm.Fin-_xlpm.Init&gt;0, _xlfn.XLOOKUP(MIN(4,_xlpm.X+1),Exp_Shift[[Number]:[Number]],Exp_Shift[[Rating]:[Rating]],0,0),IF(_xlpm.Fin-_xlpm.Init&lt;0,_xlfn.XLOOKUP(MAX(0,_xlpm.X),Exp_Shift[[Number]:[Number]],Exp_Shift[[Rating]:[Rating]],0,0),AD62)))</f>
        <v>H</v>
      </c>
      <c r="AE131" s="27" t="str" cm="1">
        <f t="array" ref="AE131">_xlfn.LET(_xlpm.Fin,_xlfn.XLOOKUP(Q131,Exp_Shift[[Rating]:[Rating]],Exp_Shift[[Number]:[Number]],0,0),_xlpm.Init,_xlfn.XLOOKUP(Q62,Exp_Shift[[Rating]:[Rating]],Exp_Shift[[Number]:[Number]],0,0),_xlpm.X,_xlfn.XLOOKUP(AE62,Exp_Shift[[Rating]:[Rating]],Exp_Shift[[Number]:[Number]],0,0), IF(_xlpm.Fin-_xlpm.Init&gt;0, _xlfn.XLOOKUP(MIN(4,_xlpm.X+1),Exp_Shift[[Number]:[Number]],Exp_Shift[[Rating]:[Rating]],0,0),IF(_xlpm.Fin-_xlpm.Init&lt;0,_xlfn.XLOOKUP(MAX(0,_xlpm.X),Exp_Shift[[Number]:[Number]],Exp_Shift[[Rating]:[Rating]],0,0),AE62)))</f>
        <v>H</v>
      </c>
    </row>
    <row r="132" spans="8:31" ht="18" x14ac:dyDescent="0.35">
      <c r="H132" s="26">
        <v>75</v>
      </c>
      <c r="I132" s="332" t="s">
        <v>120</v>
      </c>
      <c r="J132" s="328" t="s">
        <v>220</v>
      </c>
      <c r="K132" s="23" t="str" cm="1">
        <f t="array" ref="K132">_xlfn.SWITCH(K109,"N/A","L","L","M","M","H","H","E","E","N/A")</f>
        <v>N/A</v>
      </c>
      <c r="L132" t="str" cm="1">
        <f t="array" ref="L132">_xlfn.SWITCH(L109,"N/A","L","L","M","M","H","H","E","E","N/A")</f>
        <v>N/A</v>
      </c>
      <c r="M132" t="str" cm="1">
        <f t="array" ref="M132">_xlfn.SWITCH(M109,"N/A","L","L","M","M","H","H","E","E","N/A")</f>
        <v>L</v>
      </c>
      <c r="N132" t="str" cm="1">
        <f t="array" ref="N132">_xlfn.SWITCH(N109,"N/A","L","L","M","M","H","H","E","E","N/A")</f>
        <v>N/A</v>
      </c>
      <c r="O132" t="str" cm="1">
        <f t="array" ref="O132">_xlfn.SWITCH(O109,"N/A","L","L","M","M","H","H","E","E","N/A")</f>
        <v>H</v>
      </c>
      <c r="P132" t="str" cm="1">
        <f t="array" ref="P132">_xlfn.SWITCH(P109,"N/A","L","L","M","M","H","H","E","E","N/A")</f>
        <v>H</v>
      </c>
      <c r="Q132" s="19" t="str" cm="1">
        <f t="array" ref="Q132">_xlfn.SWITCH(Q109,"N/A","L","L","M","M","H","H","E","E","N/A")</f>
        <v>N/A</v>
      </c>
      <c r="R132" s="23" t="str" cm="1">
        <f t="array" ref="R132">_xlfn.LET(_xlpm.Fin,_xlfn.XLOOKUP(K132,Exp_Shift[[Rating]:[Rating]],Exp_Shift[[Number]:[Number]],0,0),_xlpm.Init,_xlfn.XLOOKUP(K63,Exp_Shift[[Rating]:[Rating]],Exp_Shift[[Number]:[Number]],0,0),_xlpm.X,_xlfn.XLOOKUP(R63,Exp_Shift[[Rating]:[Rating]],Exp_Shift[[Number]:[Number]],0,0), IF(_xlpm.Fin-_xlpm.Init&gt;0, _xlfn.XLOOKUP(MIN(4,_xlpm.X+_xlpm.Fin-_xlpm.Init),Exp_Shift[[Number]:[Number]],Exp_Shift[[Rating]:[Rating]],0,0),IF(_xlpm.Fin-_xlpm.Init&lt;0,_xlfn.XLOOKUP(MAX(0,_xlpm.X-1),Exp_Shift[[Number]:[Number]],Exp_Shift[[Rating]:[Rating]],0,0),R63)))</f>
        <v>M</v>
      </c>
      <c r="S132" t="str" cm="1">
        <f t="array" ref="S132">_xlfn.LET(_xlpm.Fin,_xlfn.XLOOKUP(L132,Exp_Shift[[Rating]:[Rating]],Exp_Shift[[Number]:[Number]],0,0),_xlpm.Init,_xlfn.XLOOKUP(L63,Exp_Shift[[Rating]:[Rating]],Exp_Shift[[Number]:[Number]],0,0),_xlpm.X,_xlfn.XLOOKUP(S63,Exp_Shift[[Rating]:[Rating]],Exp_Shift[[Number]:[Number]],0,0), IF(_xlpm.Fin-_xlpm.Init&gt;0, _xlfn.XLOOKUP(MIN(4,_xlpm.X+_xlpm.Fin-_xlpm.Init),Exp_Shift[[Number]:[Number]],Exp_Shift[[Rating]:[Rating]],0,0),IF(_xlpm.Fin-_xlpm.Init&lt;0,_xlfn.XLOOKUP(MAX(0,_xlpm.X-1),Exp_Shift[[Number]:[Number]],Exp_Shift[[Rating]:[Rating]],0,0),S63)))</f>
        <v>L</v>
      </c>
      <c r="T132" t="str" cm="1">
        <f t="array" ref="T132">_xlfn.LET(_xlpm.Fin,_xlfn.XLOOKUP(M132,Exp_Shift[[Rating]:[Rating]],Exp_Shift[[Number]:[Number]],0,0),_xlpm.Init,_xlfn.XLOOKUP(M63,Exp_Shift[[Rating]:[Rating]],Exp_Shift[[Number]:[Number]],0,0),_xlpm.X,_xlfn.XLOOKUP(T63,Exp_Shift[[Rating]:[Rating]],Exp_Shift[[Number]:[Number]],0,0), IF(_xlpm.Fin-_xlpm.Init&gt;0, _xlfn.XLOOKUP(MIN(4,_xlpm.X+_xlpm.Fin-_xlpm.Init),Exp_Shift[[Number]:[Number]],Exp_Shift[[Rating]:[Rating]],0,0),IF(_xlpm.Fin-_xlpm.Init&lt;0,_xlfn.XLOOKUP(MAX(0,_xlpm.X-1),Exp_Shift[[Number]:[Number]],Exp_Shift[[Rating]:[Rating]],0,0),T63)))</f>
        <v>H</v>
      </c>
      <c r="U132" t="str" cm="1">
        <f t="array" ref="U132">_xlfn.LET(_xlpm.Fin,_xlfn.XLOOKUP(N132,Exp_Shift[[Rating]:[Rating]],Exp_Shift[[Number]:[Number]],0,0),_xlpm.Init,_xlfn.XLOOKUP(N63,Exp_Shift[[Rating]:[Rating]],Exp_Shift[[Number]:[Number]],0,0),_xlpm.X,_xlfn.XLOOKUP(U63,Exp_Shift[[Rating]:[Rating]],Exp_Shift[[Number]:[Number]],0,0), IF(_xlpm.Fin-_xlpm.Init&gt;0, _xlfn.XLOOKUP(MIN(4,_xlpm.X+_xlpm.Fin-_xlpm.Init),Exp_Shift[[Number]:[Number]],Exp_Shift[[Rating]:[Rating]],0,0),IF(_xlpm.Fin-_xlpm.Init&lt;0,_xlfn.XLOOKUP(MAX(0,_xlpm.X-1),Exp_Shift[[Number]:[Number]],Exp_Shift[[Rating]:[Rating]],0,0),U63)))</f>
        <v>M</v>
      </c>
      <c r="V132" t="str" cm="1">
        <f t="array" ref="V132">_xlfn.LET(_xlpm.Fin,_xlfn.XLOOKUP(O132,Exp_Shift[[Rating]:[Rating]],Exp_Shift[[Number]:[Number]],0,0),_xlpm.Init,_xlfn.XLOOKUP(O63,Exp_Shift[[Rating]:[Rating]],Exp_Shift[[Number]:[Number]],0,0),_xlpm.X,_xlfn.XLOOKUP(V63,Exp_Shift[[Rating]:[Rating]],Exp_Shift[[Number]:[Number]],0,0), IF(_xlpm.Fin-_xlpm.Init&gt;0, _xlfn.XLOOKUP(MIN(4,_xlpm.X+_xlpm.Fin-_xlpm.Init),Exp_Shift[[Number]:[Number]],Exp_Shift[[Rating]:[Rating]],0,0),IF(_xlpm.Fin-_xlpm.Init&lt;0,_xlfn.XLOOKUP(MAX(0,_xlpm.X-1),Exp_Shift[[Number]:[Number]],Exp_Shift[[Rating]:[Rating]],0,0),V63)))</f>
        <v>H</v>
      </c>
      <c r="W132" t="str" cm="1">
        <f t="array" ref="W132">_xlfn.LET(_xlpm.Fin,_xlfn.XLOOKUP(P132,Exp_Shift[[Rating]:[Rating]],Exp_Shift[[Number]:[Number]],0,0),_xlpm.Init,_xlfn.XLOOKUP(P63,Exp_Shift[[Rating]:[Rating]],Exp_Shift[[Number]:[Number]],0,0),_xlpm.X,_xlfn.XLOOKUP(W63,Exp_Shift[[Rating]:[Rating]],Exp_Shift[[Number]:[Number]],0,0), IF(_xlpm.Fin-_xlpm.Init&gt;0, _xlfn.XLOOKUP(MIN(4,_xlpm.X+_xlpm.Fin-_xlpm.Init),Exp_Shift[[Number]:[Number]],Exp_Shift[[Rating]:[Rating]],0,0),IF(_xlpm.Fin-_xlpm.Init&lt;0,_xlfn.XLOOKUP(MAX(0,_xlpm.X-1),Exp_Shift[[Number]:[Number]],Exp_Shift[[Rating]:[Rating]],0,0),W63)))</f>
        <v>H</v>
      </c>
      <c r="X132" s="19" t="str" cm="1">
        <f t="array" ref="X132">_xlfn.LET(_xlpm.Fin,_xlfn.XLOOKUP(Q132,Exp_Shift[[Rating]:[Rating]],Exp_Shift[[Number]:[Number]],0,0),_xlpm.Init,_xlfn.XLOOKUP(Q63,Exp_Shift[[Rating]:[Rating]],Exp_Shift[[Number]:[Number]],0,0),_xlpm.X,_xlfn.XLOOKUP(X63,Exp_Shift[[Rating]:[Rating]],Exp_Shift[[Number]:[Number]],0,0), IF(_xlpm.Fin-_xlpm.Init&gt;0, _xlfn.XLOOKUP(MIN(4,_xlpm.X+_xlpm.Fin-_xlpm.Init),Exp_Shift[[Number]:[Number]],Exp_Shift[[Rating]:[Rating]],0,0),IF(_xlpm.Fin-_xlpm.Init&lt;0,_xlfn.XLOOKUP(MAX(0,_xlpm.X-1),Exp_Shift[[Number]:[Number]],Exp_Shift[[Rating]:[Rating]],0,0),X63)))</f>
        <v>M</v>
      </c>
      <c r="Y132" s="23" t="str" cm="1">
        <f t="array" ref="Y132">_xlfn.LET(_xlpm.Fin,_xlfn.XLOOKUP(K132,Exp_Shift[[Rating]:[Rating]],Exp_Shift[[Number]:[Number]],0,0),_xlpm.Init,_xlfn.XLOOKUP(K63,Exp_Shift[[Rating]:[Rating]],Exp_Shift[[Number]:[Number]],0,0),_xlpm.X,_xlfn.XLOOKUP(Y63,Exp_Shift[[Rating]:[Rating]],Exp_Shift[[Number]:[Number]],0,0), IF(_xlpm.Fin-_xlpm.Init&gt;0, _xlfn.XLOOKUP(MIN(4,_xlpm.X+1),Exp_Shift[[Number]:[Number]],Exp_Shift[[Rating]:[Rating]],0,0),IF(_xlpm.Fin-_xlpm.Init&lt;0,_xlfn.XLOOKUP(MAX(0,_xlpm.X),Exp_Shift[[Number]:[Number]],Exp_Shift[[Rating]:[Rating]],0,0),Y63)))</f>
        <v>E</v>
      </c>
      <c r="Z132" t="str" cm="1">
        <f t="array" ref="Z132">_xlfn.LET(_xlpm.Fin,_xlfn.XLOOKUP(L132,Exp_Shift[[Rating]:[Rating]],Exp_Shift[[Number]:[Number]],0,0),_xlpm.Init,_xlfn.XLOOKUP(L63,Exp_Shift[[Rating]:[Rating]],Exp_Shift[[Number]:[Number]],0,0),_xlpm.X,_xlfn.XLOOKUP(Z63,Exp_Shift[[Rating]:[Rating]],Exp_Shift[[Number]:[Number]],0,0), IF(_xlpm.Fin-_xlpm.Init&gt;0, _xlfn.XLOOKUP(MIN(4,_xlpm.X+1),Exp_Shift[[Number]:[Number]],Exp_Shift[[Rating]:[Rating]],0,0),IF(_xlpm.Fin-_xlpm.Init&lt;0,_xlfn.XLOOKUP(MAX(0,_xlpm.X),Exp_Shift[[Number]:[Number]],Exp_Shift[[Rating]:[Rating]],0,0),Z63)))</f>
        <v>H</v>
      </c>
      <c r="AA132" t="str" cm="1">
        <f t="array" ref="AA132">_xlfn.LET(_xlpm.Fin,_xlfn.XLOOKUP(M132,Exp_Shift[[Rating]:[Rating]],Exp_Shift[[Number]:[Number]],0,0),_xlpm.Init,_xlfn.XLOOKUP(M63,Exp_Shift[[Rating]:[Rating]],Exp_Shift[[Number]:[Number]],0,0),_xlpm.X,_xlfn.XLOOKUP(AA63,Exp_Shift[[Rating]:[Rating]],Exp_Shift[[Number]:[Number]],0,0), IF(_xlpm.Fin-_xlpm.Init&gt;0, _xlfn.XLOOKUP(MIN(4,_xlpm.X+1),Exp_Shift[[Number]:[Number]],Exp_Shift[[Rating]:[Rating]],0,0),IF(_xlpm.Fin-_xlpm.Init&lt;0,_xlfn.XLOOKUP(MAX(0,_xlpm.X),Exp_Shift[[Number]:[Number]],Exp_Shift[[Rating]:[Rating]],0,0),AA63)))</f>
        <v>E</v>
      </c>
      <c r="AB132" t="str" cm="1">
        <f t="array" ref="AB132">_xlfn.LET(_xlpm.Fin,_xlfn.XLOOKUP(N132,Exp_Shift[[Rating]:[Rating]],Exp_Shift[[Number]:[Number]],0,0),_xlpm.Init,_xlfn.XLOOKUP(N63,Exp_Shift[[Rating]:[Rating]],Exp_Shift[[Number]:[Number]],0,0),_xlpm.X,_xlfn.XLOOKUP(AB63,Exp_Shift[[Rating]:[Rating]],Exp_Shift[[Number]:[Number]],0,0), IF(_xlpm.Fin-_xlpm.Init&gt;0, _xlfn.XLOOKUP(MIN(4,_xlpm.X+1),Exp_Shift[[Number]:[Number]],Exp_Shift[[Rating]:[Rating]],0,0),IF(_xlpm.Fin-_xlpm.Init&lt;0,_xlfn.XLOOKUP(MAX(0,_xlpm.X),Exp_Shift[[Number]:[Number]],Exp_Shift[[Rating]:[Rating]],0,0),AB63)))</f>
        <v>E</v>
      </c>
      <c r="AC132" t="str" cm="1">
        <f t="array" ref="AC132">_xlfn.LET(_xlpm.Fin,_xlfn.XLOOKUP(O132,Exp_Shift[[Rating]:[Rating]],Exp_Shift[[Number]:[Number]],0,0),_xlpm.Init,_xlfn.XLOOKUP(O63,Exp_Shift[[Rating]:[Rating]],Exp_Shift[[Number]:[Number]],0,0),_xlpm.X,_xlfn.XLOOKUP(AC63,Exp_Shift[[Rating]:[Rating]],Exp_Shift[[Number]:[Number]],0,0), IF(_xlpm.Fin-_xlpm.Init&gt;0, _xlfn.XLOOKUP(MIN(4,_xlpm.X+1),Exp_Shift[[Number]:[Number]],Exp_Shift[[Rating]:[Rating]],0,0),IF(_xlpm.Fin-_xlpm.Init&lt;0,_xlfn.XLOOKUP(MAX(0,_xlpm.X),Exp_Shift[[Number]:[Number]],Exp_Shift[[Rating]:[Rating]],0,0),AC63)))</f>
        <v>L</v>
      </c>
      <c r="AD132" t="str" cm="1">
        <f t="array" ref="AD132">_xlfn.LET(_xlpm.Fin,_xlfn.XLOOKUP(P132,Exp_Shift[[Rating]:[Rating]],Exp_Shift[[Number]:[Number]],0,0),_xlpm.Init,_xlfn.XLOOKUP(P63,Exp_Shift[[Rating]:[Rating]],Exp_Shift[[Number]:[Number]],0,0),_xlpm.X,_xlfn.XLOOKUP(AD63,Exp_Shift[[Rating]:[Rating]],Exp_Shift[[Number]:[Number]],0,0), IF(_xlpm.Fin-_xlpm.Init&gt;0, _xlfn.XLOOKUP(MIN(4,_xlpm.X+1),Exp_Shift[[Number]:[Number]],Exp_Shift[[Rating]:[Rating]],0,0),IF(_xlpm.Fin-_xlpm.Init&lt;0,_xlfn.XLOOKUP(MAX(0,_xlpm.X),Exp_Shift[[Number]:[Number]],Exp_Shift[[Rating]:[Rating]],0,0),AD63)))</f>
        <v>L</v>
      </c>
      <c r="AE132" s="27" t="str" cm="1">
        <f t="array" ref="AE132">_xlfn.LET(_xlpm.Fin,_xlfn.XLOOKUP(Q132,Exp_Shift[[Rating]:[Rating]],Exp_Shift[[Number]:[Number]],0,0),_xlpm.Init,_xlfn.XLOOKUP(Q63,Exp_Shift[[Rating]:[Rating]],Exp_Shift[[Number]:[Number]],0,0),_xlpm.X,_xlfn.XLOOKUP(AE63,Exp_Shift[[Rating]:[Rating]],Exp_Shift[[Number]:[Number]],0,0), IF(_xlpm.Fin-_xlpm.Init&gt;0, _xlfn.XLOOKUP(MIN(4,_xlpm.X+1),Exp_Shift[[Number]:[Number]],Exp_Shift[[Rating]:[Rating]],0,0),IF(_xlpm.Fin-_xlpm.Init&lt;0,_xlfn.XLOOKUP(MAX(0,_xlpm.X),Exp_Shift[[Number]:[Number]],Exp_Shift[[Rating]:[Rating]],0,0),AE63)))</f>
        <v>H</v>
      </c>
    </row>
    <row r="133" spans="8:31" ht="18" x14ac:dyDescent="0.35">
      <c r="H133" s="26">
        <v>76</v>
      </c>
      <c r="I133" s="332" t="s">
        <v>120</v>
      </c>
      <c r="J133" s="328" t="s">
        <v>67</v>
      </c>
      <c r="K133" s="23" t="str" cm="1">
        <f t="array" ref="K133">_xlfn.SWITCH(K110,"N/A","L","L","M","M","H","H","E","E","N/A")</f>
        <v>E</v>
      </c>
      <c r="L133" t="str" cm="1">
        <f t="array" ref="L133">_xlfn.SWITCH(L110,"N/A","L","L","M","M","H","H","E","E","N/A")</f>
        <v>N/A</v>
      </c>
      <c r="M133" t="str" cm="1">
        <f t="array" ref="M133">_xlfn.SWITCH(M110,"N/A","L","L","M","M","H","H","E","E","N/A")</f>
        <v>L</v>
      </c>
      <c r="N133" t="str" cm="1">
        <f t="array" ref="N133">_xlfn.SWITCH(N110,"N/A","L","L","M","M","H","H","E","E","N/A")</f>
        <v>E</v>
      </c>
      <c r="O133" t="str" cm="1">
        <f t="array" ref="O133">_xlfn.SWITCH(O110,"N/A","L","L","M","M","H","H","E","E","N/A")</f>
        <v>H</v>
      </c>
      <c r="P133" t="str" cm="1">
        <f t="array" ref="P133">_xlfn.SWITCH(P110,"N/A","L","L","M","M","H","H","E","E","N/A")</f>
        <v>H</v>
      </c>
      <c r="Q133" s="19" t="str" cm="1">
        <f t="array" ref="Q133">_xlfn.SWITCH(Q110,"N/A","L","L","M","M","H","H","E","E","N/A")</f>
        <v>E</v>
      </c>
      <c r="R133" s="23" t="str" cm="1">
        <f t="array" ref="R133">_xlfn.LET(_xlpm.Fin,_xlfn.XLOOKUP(K133,Exp_Shift[[Rating]:[Rating]],Exp_Shift[[Number]:[Number]],0,0),_xlpm.Init,_xlfn.XLOOKUP(K64,Exp_Shift[[Rating]:[Rating]],Exp_Shift[[Number]:[Number]],0,0),_xlpm.X,_xlfn.XLOOKUP(R64,Exp_Shift[[Rating]:[Rating]],Exp_Shift[[Number]:[Number]],0,0), IF(_xlpm.Fin-_xlpm.Init&gt;0, _xlfn.XLOOKUP(MIN(4,_xlpm.X+_xlpm.Fin-_xlpm.Init),Exp_Shift[[Number]:[Number]],Exp_Shift[[Rating]:[Rating]],0,0),IF(_xlpm.Fin-_xlpm.Init&lt;0,_xlfn.XLOOKUP(MAX(0,_xlpm.X-1),Exp_Shift[[Number]:[Number]],Exp_Shift[[Rating]:[Rating]],0,0),R64)))</f>
        <v>E</v>
      </c>
      <c r="S133" t="str" cm="1">
        <f t="array" ref="S133">_xlfn.LET(_xlpm.Fin,_xlfn.XLOOKUP(L133,Exp_Shift[[Rating]:[Rating]],Exp_Shift[[Number]:[Number]],0,0),_xlpm.Init,_xlfn.XLOOKUP(L64,Exp_Shift[[Rating]:[Rating]],Exp_Shift[[Number]:[Number]],0,0),_xlpm.X,_xlfn.XLOOKUP(S64,Exp_Shift[[Rating]:[Rating]],Exp_Shift[[Number]:[Number]],0,0), IF(_xlpm.Fin-_xlpm.Init&gt;0, _xlfn.XLOOKUP(MIN(4,_xlpm.X+_xlpm.Fin-_xlpm.Init),Exp_Shift[[Number]:[Number]],Exp_Shift[[Rating]:[Rating]],0,0),IF(_xlpm.Fin-_xlpm.Init&lt;0,_xlfn.XLOOKUP(MAX(0,_xlpm.X-1),Exp_Shift[[Number]:[Number]],Exp_Shift[[Rating]:[Rating]],0,0),S64)))</f>
        <v>L</v>
      </c>
      <c r="T133" t="str" cm="1">
        <f t="array" ref="T133">_xlfn.LET(_xlpm.Fin,_xlfn.XLOOKUP(M133,Exp_Shift[[Rating]:[Rating]],Exp_Shift[[Number]:[Number]],0,0),_xlpm.Init,_xlfn.XLOOKUP(M64,Exp_Shift[[Rating]:[Rating]],Exp_Shift[[Number]:[Number]],0,0),_xlpm.X,_xlfn.XLOOKUP(T64,Exp_Shift[[Rating]:[Rating]],Exp_Shift[[Number]:[Number]],0,0), IF(_xlpm.Fin-_xlpm.Init&gt;0, _xlfn.XLOOKUP(MIN(4,_xlpm.X+_xlpm.Fin-_xlpm.Init),Exp_Shift[[Number]:[Number]],Exp_Shift[[Rating]:[Rating]],0,0),IF(_xlpm.Fin-_xlpm.Init&lt;0,_xlfn.XLOOKUP(MAX(0,_xlpm.X-1),Exp_Shift[[Number]:[Number]],Exp_Shift[[Rating]:[Rating]],0,0),T64)))</f>
        <v>H</v>
      </c>
      <c r="U133" t="str" cm="1">
        <f t="array" ref="U133">_xlfn.LET(_xlpm.Fin,_xlfn.XLOOKUP(N133,Exp_Shift[[Rating]:[Rating]],Exp_Shift[[Number]:[Number]],0,0),_xlpm.Init,_xlfn.XLOOKUP(N64,Exp_Shift[[Rating]:[Rating]],Exp_Shift[[Number]:[Number]],0,0),_xlpm.X,_xlfn.XLOOKUP(U64,Exp_Shift[[Rating]:[Rating]],Exp_Shift[[Number]:[Number]],0,0), IF(_xlpm.Fin-_xlpm.Init&gt;0, _xlfn.XLOOKUP(MIN(4,_xlpm.X+_xlpm.Fin-_xlpm.Init),Exp_Shift[[Number]:[Number]],Exp_Shift[[Rating]:[Rating]],0,0),IF(_xlpm.Fin-_xlpm.Init&lt;0,_xlfn.XLOOKUP(MAX(0,_xlpm.X-1),Exp_Shift[[Number]:[Number]],Exp_Shift[[Rating]:[Rating]],0,0),U64)))</f>
        <v>E</v>
      </c>
      <c r="V133" t="str" cm="1">
        <f t="array" ref="V133">_xlfn.LET(_xlpm.Fin,_xlfn.XLOOKUP(O133,Exp_Shift[[Rating]:[Rating]],Exp_Shift[[Number]:[Number]],0,0),_xlpm.Init,_xlfn.XLOOKUP(O64,Exp_Shift[[Rating]:[Rating]],Exp_Shift[[Number]:[Number]],0,0),_xlpm.X,_xlfn.XLOOKUP(V64,Exp_Shift[[Rating]:[Rating]],Exp_Shift[[Number]:[Number]],0,0), IF(_xlpm.Fin-_xlpm.Init&gt;0, _xlfn.XLOOKUP(MIN(4,_xlpm.X+_xlpm.Fin-_xlpm.Init),Exp_Shift[[Number]:[Number]],Exp_Shift[[Rating]:[Rating]],0,0),IF(_xlpm.Fin-_xlpm.Init&lt;0,_xlfn.XLOOKUP(MAX(0,_xlpm.X-1),Exp_Shift[[Number]:[Number]],Exp_Shift[[Rating]:[Rating]],0,0),V64)))</f>
        <v>H</v>
      </c>
      <c r="W133" t="str" cm="1">
        <f t="array" ref="W133">_xlfn.LET(_xlpm.Fin,_xlfn.XLOOKUP(P133,Exp_Shift[[Rating]:[Rating]],Exp_Shift[[Number]:[Number]],0,0),_xlpm.Init,_xlfn.XLOOKUP(P64,Exp_Shift[[Rating]:[Rating]],Exp_Shift[[Number]:[Number]],0,0),_xlpm.X,_xlfn.XLOOKUP(W64,Exp_Shift[[Rating]:[Rating]],Exp_Shift[[Number]:[Number]],0,0), IF(_xlpm.Fin-_xlpm.Init&gt;0, _xlfn.XLOOKUP(MIN(4,_xlpm.X+_xlpm.Fin-_xlpm.Init),Exp_Shift[[Number]:[Number]],Exp_Shift[[Rating]:[Rating]],0,0),IF(_xlpm.Fin-_xlpm.Init&lt;0,_xlfn.XLOOKUP(MAX(0,_xlpm.X-1),Exp_Shift[[Number]:[Number]],Exp_Shift[[Rating]:[Rating]],0,0),W64)))</f>
        <v>H</v>
      </c>
      <c r="X133" s="19" t="str" cm="1">
        <f t="array" ref="X133">_xlfn.LET(_xlpm.Fin,_xlfn.XLOOKUP(Q133,Exp_Shift[[Rating]:[Rating]],Exp_Shift[[Number]:[Number]],0,0),_xlpm.Init,_xlfn.XLOOKUP(Q64,Exp_Shift[[Rating]:[Rating]],Exp_Shift[[Number]:[Number]],0,0),_xlpm.X,_xlfn.XLOOKUP(X64,Exp_Shift[[Rating]:[Rating]],Exp_Shift[[Number]:[Number]],0,0), IF(_xlpm.Fin-_xlpm.Init&gt;0, _xlfn.XLOOKUP(MIN(4,_xlpm.X+_xlpm.Fin-_xlpm.Init),Exp_Shift[[Number]:[Number]],Exp_Shift[[Rating]:[Rating]],0,0),IF(_xlpm.Fin-_xlpm.Init&lt;0,_xlfn.XLOOKUP(MAX(0,_xlpm.X-1),Exp_Shift[[Number]:[Number]],Exp_Shift[[Rating]:[Rating]],0,0),X64)))</f>
        <v>E</v>
      </c>
      <c r="Y133" s="23" t="str" cm="1">
        <f t="array" ref="Y133">_xlfn.LET(_xlpm.Fin,_xlfn.XLOOKUP(K133,Exp_Shift[[Rating]:[Rating]],Exp_Shift[[Number]:[Number]],0,0),_xlpm.Init,_xlfn.XLOOKUP(K64,Exp_Shift[[Rating]:[Rating]],Exp_Shift[[Number]:[Number]],0,0),_xlpm.X,_xlfn.XLOOKUP(Y64,Exp_Shift[[Rating]:[Rating]],Exp_Shift[[Number]:[Number]],0,0), IF(_xlpm.Fin-_xlpm.Init&gt;0, _xlfn.XLOOKUP(MIN(4,_xlpm.X+1),Exp_Shift[[Number]:[Number]],Exp_Shift[[Rating]:[Rating]],0,0),IF(_xlpm.Fin-_xlpm.Init&lt;0,_xlfn.XLOOKUP(MAX(0,_xlpm.X),Exp_Shift[[Number]:[Number]],Exp_Shift[[Rating]:[Rating]],0,0),Y64)))</f>
        <v>H</v>
      </c>
      <c r="Z133" t="str" cm="1">
        <f t="array" ref="Z133">_xlfn.LET(_xlpm.Fin,_xlfn.XLOOKUP(L133,Exp_Shift[[Rating]:[Rating]],Exp_Shift[[Number]:[Number]],0,0),_xlpm.Init,_xlfn.XLOOKUP(L64,Exp_Shift[[Rating]:[Rating]],Exp_Shift[[Number]:[Number]],0,0),_xlpm.X,_xlfn.XLOOKUP(Z64,Exp_Shift[[Rating]:[Rating]],Exp_Shift[[Number]:[Number]],0,0), IF(_xlpm.Fin-_xlpm.Init&gt;0, _xlfn.XLOOKUP(MIN(4,_xlpm.X+1),Exp_Shift[[Number]:[Number]],Exp_Shift[[Rating]:[Rating]],0,0),IF(_xlpm.Fin-_xlpm.Init&lt;0,_xlfn.XLOOKUP(MAX(0,_xlpm.X),Exp_Shift[[Number]:[Number]],Exp_Shift[[Rating]:[Rating]],0,0),Z64)))</f>
        <v>H</v>
      </c>
      <c r="AA133" t="str" cm="1">
        <f t="array" ref="AA133">_xlfn.LET(_xlpm.Fin,_xlfn.XLOOKUP(M133,Exp_Shift[[Rating]:[Rating]],Exp_Shift[[Number]:[Number]],0,0),_xlpm.Init,_xlfn.XLOOKUP(M64,Exp_Shift[[Rating]:[Rating]],Exp_Shift[[Number]:[Number]],0,0),_xlpm.X,_xlfn.XLOOKUP(AA64,Exp_Shift[[Rating]:[Rating]],Exp_Shift[[Number]:[Number]],0,0), IF(_xlpm.Fin-_xlpm.Init&gt;0, _xlfn.XLOOKUP(MIN(4,_xlpm.X+1),Exp_Shift[[Number]:[Number]],Exp_Shift[[Rating]:[Rating]],0,0),IF(_xlpm.Fin-_xlpm.Init&lt;0,_xlfn.XLOOKUP(MAX(0,_xlpm.X),Exp_Shift[[Number]:[Number]],Exp_Shift[[Rating]:[Rating]],0,0),AA64)))</f>
        <v>E</v>
      </c>
      <c r="AB133" t="str" cm="1">
        <f t="array" ref="AB133">_xlfn.LET(_xlpm.Fin,_xlfn.XLOOKUP(N133,Exp_Shift[[Rating]:[Rating]],Exp_Shift[[Number]:[Number]],0,0),_xlpm.Init,_xlfn.XLOOKUP(N64,Exp_Shift[[Rating]:[Rating]],Exp_Shift[[Number]:[Number]],0,0),_xlpm.X,_xlfn.XLOOKUP(AB64,Exp_Shift[[Rating]:[Rating]],Exp_Shift[[Number]:[Number]],0,0), IF(_xlpm.Fin-_xlpm.Init&gt;0, _xlfn.XLOOKUP(MIN(4,_xlpm.X+1),Exp_Shift[[Number]:[Number]],Exp_Shift[[Rating]:[Rating]],0,0),IF(_xlpm.Fin-_xlpm.Init&lt;0,_xlfn.XLOOKUP(MAX(0,_xlpm.X),Exp_Shift[[Number]:[Number]],Exp_Shift[[Rating]:[Rating]],0,0),AB64)))</f>
        <v>H</v>
      </c>
      <c r="AC133" t="str" cm="1">
        <f t="array" ref="AC133">_xlfn.LET(_xlpm.Fin,_xlfn.XLOOKUP(O133,Exp_Shift[[Rating]:[Rating]],Exp_Shift[[Number]:[Number]],0,0),_xlpm.Init,_xlfn.XLOOKUP(O64,Exp_Shift[[Rating]:[Rating]],Exp_Shift[[Number]:[Number]],0,0),_xlpm.X,_xlfn.XLOOKUP(AC64,Exp_Shift[[Rating]:[Rating]],Exp_Shift[[Number]:[Number]],0,0), IF(_xlpm.Fin-_xlpm.Init&gt;0, _xlfn.XLOOKUP(MIN(4,_xlpm.X+1),Exp_Shift[[Number]:[Number]],Exp_Shift[[Rating]:[Rating]],0,0),IF(_xlpm.Fin-_xlpm.Init&lt;0,_xlfn.XLOOKUP(MAX(0,_xlpm.X),Exp_Shift[[Number]:[Number]],Exp_Shift[[Rating]:[Rating]],0,0),AC64)))</f>
        <v>L</v>
      </c>
      <c r="AD133" t="str" cm="1">
        <f t="array" ref="AD133">_xlfn.LET(_xlpm.Fin,_xlfn.XLOOKUP(P133,Exp_Shift[[Rating]:[Rating]],Exp_Shift[[Number]:[Number]],0,0),_xlpm.Init,_xlfn.XLOOKUP(P64,Exp_Shift[[Rating]:[Rating]],Exp_Shift[[Number]:[Number]],0,0),_xlpm.X,_xlfn.XLOOKUP(AD64,Exp_Shift[[Rating]:[Rating]],Exp_Shift[[Number]:[Number]],0,0), IF(_xlpm.Fin-_xlpm.Init&gt;0, _xlfn.XLOOKUP(MIN(4,_xlpm.X+1),Exp_Shift[[Number]:[Number]],Exp_Shift[[Rating]:[Rating]],0,0),IF(_xlpm.Fin-_xlpm.Init&lt;0,_xlfn.XLOOKUP(MAX(0,_xlpm.X),Exp_Shift[[Number]:[Number]],Exp_Shift[[Rating]:[Rating]],0,0),AD64)))</f>
        <v>L</v>
      </c>
      <c r="AE133" s="27" t="str" cm="1">
        <f t="array" ref="AE133">_xlfn.LET(_xlpm.Fin,_xlfn.XLOOKUP(Q133,Exp_Shift[[Rating]:[Rating]],Exp_Shift[[Number]:[Number]],0,0),_xlpm.Init,_xlfn.XLOOKUP(Q64,Exp_Shift[[Rating]:[Rating]],Exp_Shift[[Number]:[Number]],0,0),_xlpm.X,_xlfn.XLOOKUP(AE64,Exp_Shift[[Rating]:[Rating]],Exp_Shift[[Number]:[Number]],0,0), IF(_xlpm.Fin-_xlpm.Init&gt;0, _xlfn.XLOOKUP(MIN(4,_xlpm.X+1),Exp_Shift[[Number]:[Number]],Exp_Shift[[Rating]:[Rating]],0,0),IF(_xlpm.Fin-_xlpm.Init&lt;0,_xlfn.XLOOKUP(MAX(0,_xlpm.X),Exp_Shift[[Number]:[Number]],Exp_Shift[[Rating]:[Rating]],0,0),AE64)))</f>
        <v>E</v>
      </c>
    </row>
    <row r="134" spans="8:31" ht="18" x14ac:dyDescent="0.35">
      <c r="H134" s="26">
        <v>77</v>
      </c>
      <c r="I134" s="332" t="s">
        <v>120</v>
      </c>
      <c r="J134" s="328" t="s">
        <v>121</v>
      </c>
      <c r="K134" s="23" t="str" cm="1">
        <f t="array" ref="K134">_xlfn.SWITCH(K111,"N/A","L","L","M","M","H","H","E","E","N/A")</f>
        <v>E</v>
      </c>
      <c r="L134" t="str" cm="1">
        <f t="array" ref="L134">_xlfn.SWITCH(L111,"N/A","L","L","M","M","H","H","E","E","N/A")</f>
        <v>N/A</v>
      </c>
      <c r="M134" t="str" cm="1">
        <f t="array" ref="M134">_xlfn.SWITCH(M111,"N/A","L","L","M","M","H","H","E","E","N/A")</f>
        <v>L</v>
      </c>
      <c r="N134" t="str" cm="1">
        <f t="array" ref="N134">_xlfn.SWITCH(N111,"N/A","L","L","M","M","H","H","E","E","N/A")</f>
        <v>E</v>
      </c>
      <c r="O134" t="str" cm="1">
        <f t="array" ref="O134">_xlfn.SWITCH(O111,"N/A","L","L","M","M","H","H","E","E","N/A")</f>
        <v>H</v>
      </c>
      <c r="P134" t="str" cm="1">
        <f t="array" ref="P134">_xlfn.SWITCH(P111,"N/A","L","L","M","M","H","H","E","E","N/A")</f>
        <v>H</v>
      </c>
      <c r="Q134" s="19" t="str" cm="1">
        <f t="array" ref="Q134">_xlfn.SWITCH(Q111,"N/A","L","L","M","M","H","H","E","E","N/A")</f>
        <v>N/A</v>
      </c>
      <c r="R134" s="23" t="str" cm="1">
        <f t="array" ref="R134">_xlfn.LET(_xlpm.Fin,_xlfn.XLOOKUP(K134,Exp_Shift[[Rating]:[Rating]],Exp_Shift[[Number]:[Number]],0,0),_xlpm.Init,_xlfn.XLOOKUP(K65,Exp_Shift[[Rating]:[Rating]],Exp_Shift[[Number]:[Number]],0,0),_xlpm.X,_xlfn.XLOOKUP(R65,Exp_Shift[[Rating]:[Rating]],Exp_Shift[[Number]:[Number]],0,0), IF(_xlpm.Fin-_xlpm.Init&gt;0, _xlfn.XLOOKUP(MIN(4,_xlpm.X+_xlpm.Fin-_xlpm.Init),Exp_Shift[[Number]:[Number]],Exp_Shift[[Rating]:[Rating]],0,0),IF(_xlpm.Fin-_xlpm.Init&lt;0,_xlfn.XLOOKUP(MAX(0,_xlpm.X-1),Exp_Shift[[Number]:[Number]],Exp_Shift[[Rating]:[Rating]],0,0),R65)))</f>
        <v>E</v>
      </c>
      <c r="S134" t="str" cm="1">
        <f t="array" ref="S134">_xlfn.LET(_xlpm.Fin,_xlfn.XLOOKUP(L134,Exp_Shift[[Rating]:[Rating]],Exp_Shift[[Number]:[Number]],0,0),_xlpm.Init,_xlfn.XLOOKUP(L65,Exp_Shift[[Rating]:[Rating]],Exp_Shift[[Number]:[Number]],0,0),_xlpm.X,_xlfn.XLOOKUP(S65,Exp_Shift[[Rating]:[Rating]],Exp_Shift[[Number]:[Number]],0,0), IF(_xlpm.Fin-_xlpm.Init&gt;0, _xlfn.XLOOKUP(MIN(4,_xlpm.X+_xlpm.Fin-_xlpm.Init),Exp_Shift[[Number]:[Number]],Exp_Shift[[Rating]:[Rating]],0,0),IF(_xlpm.Fin-_xlpm.Init&lt;0,_xlfn.XLOOKUP(MAX(0,_xlpm.X-1),Exp_Shift[[Number]:[Number]],Exp_Shift[[Rating]:[Rating]],0,0),S65)))</f>
        <v>L</v>
      </c>
      <c r="T134" t="str" cm="1">
        <f t="array" ref="T134">_xlfn.LET(_xlpm.Fin,_xlfn.XLOOKUP(M134,Exp_Shift[[Rating]:[Rating]],Exp_Shift[[Number]:[Number]],0,0),_xlpm.Init,_xlfn.XLOOKUP(M65,Exp_Shift[[Rating]:[Rating]],Exp_Shift[[Number]:[Number]],0,0),_xlpm.X,_xlfn.XLOOKUP(T65,Exp_Shift[[Rating]:[Rating]],Exp_Shift[[Number]:[Number]],0,0), IF(_xlpm.Fin-_xlpm.Init&gt;0, _xlfn.XLOOKUP(MIN(4,_xlpm.X+_xlpm.Fin-_xlpm.Init),Exp_Shift[[Number]:[Number]],Exp_Shift[[Rating]:[Rating]],0,0),IF(_xlpm.Fin-_xlpm.Init&lt;0,_xlfn.XLOOKUP(MAX(0,_xlpm.X-1),Exp_Shift[[Number]:[Number]],Exp_Shift[[Rating]:[Rating]],0,0),T65)))</f>
        <v>H</v>
      </c>
      <c r="U134" t="str" cm="1">
        <f t="array" ref="U134">_xlfn.LET(_xlpm.Fin,_xlfn.XLOOKUP(N134,Exp_Shift[[Rating]:[Rating]],Exp_Shift[[Number]:[Number]],0,0),_xlpm.Init,_xlfn.XLOOKUP(N65,Exp_Shift[[Rating]:[Rating]],Exp_Shift[[Number]:[Number]],0,0),_xlpm.X,_xlfn.XLOOKUP(U65,Exp_Shift[[Rating]:[Rating]],Exp_Shift[[Number]:[Number]],0,0), IF(_xlpm.Fin-_xlpm.Init&gt;0, _xlfn.XLOOKUP(MIN(4,_xlpm.X+_xlpm.Fin-_xlpm.Init),Exp_Shift[[Number]:[Number]],Exp_Shift[[Rating]:[Rating]],0,0),IF(_xlpm.Fin-_xlpm.Init&lt;0,_xlfn.XLOOKUP(MAX(0,_xlpm.X-1),Exp_Shift[[Number]:[Number]],Exp_Shift[[Rating]:[Rating]],0,0),U65)))</f>
        <v>E</v>
      </c>
      <c r="V134" t="str" cm="1">
        <f t="array" ref="V134">_xlfn.LET(_xlpm.Fin,_xlfn.XLOOKUP(O134,Exp_Shift[[Rating]:[Rating]],Exp_Shift[[Number]:[Number]],0,0),_xlpm.Init,_xlfn.XLOOKUP(O65,Exp_Shift[[Rating]:[Rating]],Exp_Shift[[Number]:[Number]],0,0),_xlpm.X,_xlfn.XLOOKUP(V65,Exp_Shift[[Rating]:[Rating]],Exp_Shift[[Number]:[Number]],0,0), IF(_xlpm.Fin-_xlpm.Init&gt;0, _xlfn.XLOOKUP(MIN(4,_xlpm.X+_xlpm.Fin-_xlpm.Init),Exp_Shift[[Number]:[Number]],Exp_Shift[[Rating]:[Rating]],0,0),IF(_xlpm.Fin-_xlpm.Init&lt;0,_xlfn.XLOOKUP(MAX(0,_xlpm.X-1),Exp_Shift[[Number]:[Number]],Exp_Shift[[Rating]:[Rating]],0,0),V65)))</f>
        <v>H</v>
      </c>
      <c r="W134" t="str" cm="1">
        <f t="array" ref="W134">_xlfn.LET(_xlpm.Fin,_xlfn.XLOOKUP(P134,Exp_Shift[[Rating]:[Rating]],Exp_Shift[[Number]:[Number]],0,0),_xlpm.Init,_xlfn.XLOOKUP(P65,Exp_Shift[[Rating]:[Rating]],Exp_Shift[[Number]:[Number]],0,0),_xlpm.X,_xlfn.XLOOKUP(W65,Exp_Shift[[Rating]:[Rating]],Exp_Shift[[Number]:[Number]],0,0), IF(_xlpm.Fin-_xlpm.Init&gt;0, _xlfn.XLOOKUP(MIN(4,_xlpm.X+_xlpm.Fin-_xlpm.Init),Exp_Shift[[Number]:[Number]],Exp_Shift[[Rating]:[Rating]],0,0),IF(_xlpm.Fin-_xlpm.Init&lt;0,_xlfn.XLOOKUP(MAX(0,_xlpm.X-1),Exp_Shift[[Number]:[Number]],Exp_Shift[[Rating]:[Rating]],0,0),W65)))</f>
        <v>H</v>
      </c>
      <c r="X134" s="19" t="str" cm="1">
        <f t="array" ref="X134">_xlfn.LET(_xlpm.Fin,_xlfn.XLOOKUP(Q134,Exp_Shift[[Rating]:[Rating]],Exp_Shift[[Number]:[Number]],0,0),_xlpm.Init,_xlfn.XLOOKUP(Q65,Exp_Shift[[Rating]:[Rating]],Exp_Shift[[Number]:[Number]],0,0),_xlpm.X,_xlfn.XLOOKUP(X65,Exp_Shift[[Rating]:[Rating]],Exp_Shift[[Number]:[Number]],0,0), IF(_xlpm.Fin-_xlpm.Init&gt;0, _xlfn.XLOOKUP(MIN(4,_xlpm.X+_xlpm.Fin-_xlpm.Init),Exp_Shift[[Number]:[Number]],Exp_Shift[[Rating]:[Rating]],0,0),IF(_xlpm.Fin-_xlpm.Init&lt;0,_xlfn.XLOOKUP(MAX(0,_xlpm.X-1),Exp_Shift[[Number]:[Number]],Exp_Shift[[Rating]:[Rating]],0,0),X65)))</f>
        <v>M</v>
      </c>
      <c r="Y134" s="23" t="str" cm="1">
        <f t="array" ref="Y134">_xlfn.LET(_xlpm.Fin,_xlfn.XLOOKUP(K134,Exp_Shift[[Rating]:[Rating]],Exp_Shift[[Number]:[Number]],0,0),_xlpm.Init,_xlfn.XLOOKUP(K65,Exp_Shift[[Rating]:[Rating]],Exp_Shift[[Number]:[Number]],0,0),_xlpm.X,_xlfn.XLOOKUP(Y65,Exp_Shift[[Rating]:[Rating]],Exp_Shift[[Number]:[Number]],0,0), IF(_xlpm.Fin-_xlpm.Init&gt;0, _xlfn.XLOOKUP(MIN(4,_xlpm.X+1),Exp_Shift[[Number]:[Number]],Exp_Shift[[Rating]:[Rating]],0,0),IF(_xlpm.Fin-_xlpm.Init&lt;0,_xlfn.XLOOKUP(MAX(0,_xlpm.X),Exp_Shift[[Number]:[Number]],Exp_Shift[[Rating]:[Rating]],0,0),Y65)))</f>
        <v>E</v>
      </c>
      <c r="Z134" t="str" cm="1">
        <f t="array" ref="Z134">_xlfn.LET(_xlpm.Fin,_xlfn.XLOOKUP(L134,Exp_Shift[[Rating]:[Rating]],Exp_Shift[[Number]:[Number]],0,0),_xlpm.Init,_xlfn.XLOOKUP(L65,Exp_Shift[[Rating]:[Rating]],Exp_Shift[[Number]:[Number]],0,0),_xlpm.X,_xlfn.XLOOKUP(Z65,Exp_Shift[[Rating]:[Rating]],Exp_Shift[[Number]:[Number]],0,0), IF(_xlpm.Fin-_xlpm.Init&gt;0, _xlfn.XLOOKUP(MIN(4,_xlpm.X+1),Exp_Shift[[Number]:[Number]],Exp_Shift[[Rating]:[Rating]],0,0),IF(_xlpm.Fin-_xlpm.Init&lt;0,_xlfn.XLOOKUP(MAX(0,_xlpm.X),Exp_Shift[[Number]:[Number]],Exp_Shift[[Rating]:[Rating]],0,0),Z65)))</f>
        <v>H</v>
      </c>
      <c r="AA134" t="str" cm="1">
        <f t="array" ref="AA134">_xlfn.LET(_xlpm.Fin,_xlfn.XLOOKUP(M134,Exp_Shift[[Rating]:[Rating]],Exp_Shift[[Number]:[Number]],0,0),_xlpm.Init,_xlfn.XLOOKUP(M65,Exp_Shift[[Rating]:[Rating]],Exp_Shift[[Number]:[Number]],0,0),_xlpm.X,_xlfn.XLOOKUP(AA65,Exp_Shift[[Rating]:[Rating]],Exp_Shift[[Number]:[Number]],0,0), IF(_xlpm.Fin-_xlpm.Init&gt;0, _xlfn.XLOOKUP(MIN(4,_xlpm.X+1),Exp_Shift[[Number]:[Number]],Exp_Shift[[Rating]:[Rating]],0,0),IF(_xlpm.Fin-_xlpm.Init&lt;0,_xlfn.XLOOKUP(MAX(0,_xlpm.X),Exp_Shift[[Number]:[Number]],Exp_Shift[[Rating]:[Rating]],0,0),AA65)))</f>
        <v>E</v>
      </c>
      <c r="AB134" t="str" cm="1">
        <f t="array" ref="AB134">_xlfn.LET(_xlpm.Fin,_xlfn.XLOOKUP(N134,Exp_Shift[[Rating]:[Rating]],Exp_Shift[[Number]:[Number]],0,0),_xlpm.Init,_xlfn.XLOOKUP(N65,Exp_Shift[[Rating]:[Rating]],Exp_Shift[[Number]:[Number]],0,0),_xlpm.X,_xlfn.XLOOKUP(AB65,Exp_Shift[[Rating]:[Rating]],Exp_Shift[[Number]:[Number]],0,0), IF(_xlpm.Fin-_xlpm.Init&gt;0, _xlfn.XLOOKUP(MIN(4,_xlpm.X+1),Exp_Shift[[Number]:[Number]],Exp_Shift[[Rating]:[Rating]],0,0),IF(_xlpm.Fin-_xlpm.Init&lt;0,_xlfn.XLOOKUP(MAX(0,_xlpm.X),Exp_Shift[[Number]:[Number]],Exp_Shift[[Rating]:[Rating]],0,0),AB65)))</f>
        <v>H</v>
      </c>
      <c r="AC134" t="str" cm="1">
        <f t="array" ref="AC134">_xlfn.LET(_xlpm.Fin,_xlfn.XLOOKUP(O134,Exp_Shift[[Rating]:[Rating]],Exp_Shift[[Number]:[Number]],0,0),_xlpm.Init,_xlfn.XLOOKUP(O65,Exp_Shift[[Rating]:[Rating]],Exp_Shift[[Number]:[Number]],0,0),_xlpm.X,_xlfn.XLOOKUP(AC65,Exp_Shift[[Rating]:[Rating]],Exp_Shift[[Number]:[Number]],0,0), IF(_xlpm.Fin-_xlpm.Init&gt;0, _xlfn.XLOOKUP(MIN(4,_xlpm.X+1),Exp_Shift[[Number]:[Number]],Exp_Shift[[Rating]:[Rating]],0,0),IF(_xlpm.Fin-_xlpm.Init&lt;0,_xlfn.XLOOKUP(MAX(0,_xlpm.X),Exp_Shift[[Number]:[Number]],Exp_Shift[[Rating]:[Rating]],0,0),AC65)))</f>
        <v>L</v>
      </c>
      <c r="AD134" t="str" cm="1">
        <f t="array" ref="AD134">_xlfn.LET(_xlpm.Fin,_xlfn.XLOOKUP(P134,Exp_Shift[[Rating]:[Rating]],Exp_Shift[[Number]:[Number]],0,0),_xlpm.Init,_xlfn.XLOOKUP(P65,Exp_Shift[[Rating]:[Rating]],Exp_Shift[[Number]:[Number]],0,0),_xlpm.X,_xlfn.XLOOKUP(AD65,Exp_Shift[[Rating]:[Rating]],Exp_Shift[[Number]:[Number]],0,0), IF(_xlpm.Fin-_xlpm.Init&gt;0, _xlfn.XLOOKUP(MIN(4,_xlpm.X+1),Exp_Shift[[Number]:[Number]],Exp_Shift[[Rating]:[Rating]],0,0),IF(_xlpm.Fin-_xlpm.Init&lt;0,_xlfn.XLOOKUP(MAX(0,_xlpm.X),Exp_Shift[[Number]:[Number]],Exp_Shift[[Rating]:[Rating]],0,0),AD65)))</f>
        <v>L</v>
      </c>
      <c r="AE134" s="27" t="str" cm="1">
        <f t="array" ref="AE134">_xlfn.LET(_xlpm.Fin,_xlfn.XLOOKUP(Q134,Exp_Shift[[Rating]:[Rating]],Exp_Shift[[Number]:[Number]],0,0),_xlpm.Init,_xlfn.XLOOKUP(Q65,Exp_Shift[[Rating]:[Rating]],Exp_Shift[[Number]:[Number]],0,0),_xlpm.X,_xlfn.XLOOKUP(AE65,Exp_Shift[[Rating]:[Rating]],Exp_Shift[[Number]:[Number]],0,0), IF(_xlpm.Fin-_xlpm.Init&gt;0, _xlfn.XLOOKUP(MIN(4,_xlpm.X+1),Exp_Shift[[Number]:[Number]],Exp_Shift[[Rating]:[Rating]],0,0),IF(_xlpm.Fin-_xlpm.Init&lt;0,_xlfn.XLOOKUP(MAX(0,_xlpm.X),Exp_Shift[[Number]:[Number]],Exp_Shift[[Rating]:[Rating]],0,0),AE65)))</f>
        <v>H</v>
      </c>
    </row>
    <row r="135" spans="8:31" ht="18" x14ac:dyDescent="0.35">
      <c r="H135" s="26">
        <v>78</v>
      </c>
      <c r="I135" s="332" t="s">
        <v>120</v>
      </c>
      <c r="J135" s="328" t="s">
        <v>70</v>
      </c>
      <c r="K135" s="23" t="str" cm="1">
        <f t="array" ref="K135">_xlfn.SWITCH(K112,"N/A","L","L","M","M","H","H","E","E","N/A")</f>
        <v>E</v>
      </c>
      <c r="L135" t="str" cm="1">
        <f t="array" ref="L135">_xlfn.SWITCH(L112,"N/A","L","L","M","M","H","H","E","E","N/A")</f>
        <v>N/A</v>
      </c>
      <c r="M135" t="str" cm="1">
        <f t="array" ref="M135">_xlfn.SWITCH(M112,"N/A","L","L","M","M","H","H","E","E","N/A")</f>
        <v>L</v>
      </c>
      <c r="N135" t="str" cm="1">
        <f t="array" ref="N135">_xlfn.SWITCH(N112,"N/A","L","L","M","M","H","H","E","E","N/A")</f>
        <v>E</v>
      </c>
      <c r="O135" t="str" cm="1">
        <f t="array" ref="O135">_xlfn.SWITCH(O112,"N/A","L","L","M","M","H","H","E","E","N/A")</f>
        <v>H</v>
      </c>
      <c r="P135" t="str" cm="1">
        <f t="array" ref="P135">_xlfn.SWITCH(P112,"N/A","L","L","M","M","H","H","E","E","N/A")</f>
        <v>H</v>
      </c>
      <c r="Q135" s="19" t="str" cm="1">
        <f t="array" ref="Q135">_xlfn.SWITCH(Q112,"N/A","L","L","M","M","H","H","E","E","N/A")</f>
        <v>N/A</v>
      </c>
      <c r="R135" s="23" t="str" cm="1">
        <f t="array" ref="R135">_xlfn.LET(_xlpm.Fin,_xlfn.XLOOKUP(K135,Exp_Shift[[Rating]:[Rating]],Exp_Shift[[Number]:[Number]],0,0),_xlpm.Init,_xlfn.XLOOKUP(K66,Exp_Shift[[Rating]:[Rating]],Exp_Shift[[Number]:[Number]],0,0),_xlpm.X,_xlfn.XLOOKUP(R66,Exp_Shift[[Rating]:[Rating]],Exp_Shift[[Number]:[Number]],0,0), IF(_xlpm.Fin-_xlpm.Init&gt;0, _xlfn.XLOOKUP(MIN(4,_xlpm.X+_xlpm.Fin-_xlpm.Init),Exp_Shift[[Number]:[Number]],Exp_Shift[[Rating]:[Rating]],0,0),IF(_xlpm.Fin-_xlpm.Init&lt;0,_xlfn.XLOOKUP(MAX(0,_xlpm.X-1),Exp_Shift[[Number]:[Number]],Exp_Shift[[Rating]:[Rating]],0,0),R66)))</f>
        <v>E</v>
      </c>
      <c r="S135" t="str" cm="1">
        <f t="array" ref="S135">_xlfn.LET(_xlpm.Fin,_xlfn.XLOOKUP(L135,Exp_Shift[[Rating]:[Rating]],Exp_Shift[[Number]:[Number]],0,0),_xlpm.Init,_xlfn.XLOOKUP(L66,Exp_Shift[[Rating]:[Rating]],Exp_Shift[[Number]:[Number]],0,0),_xlpm.X,_xlfn.XLOOKUP(S66,Exp_Shift[[Rating]:[Rating]],Exp_Shift[[Number]:[Number]],0,0), IF(_xlpm.Fin-_xlpm.Init&gt;0, _xlfn.XLOOKUP(MIN(4,_xlpm.X+_xlpm.Fin-_xlpm.Init),Exp_Shift[[Number]:[Number]],Exp_Shift[[Rating]:[Rating]],0,0),IF(_xlpm.Fin-_xlpm.Init&lt;0,_xlfn.XLOOKUP(MAX(0,_xlpm.X-1),Exp_Shift[[Number]:[Number]],Exp_Shift[[Rating]:[Rating]],0,0),S66)))</f>
        <v>L</v>
      </c>
      <c r="T135" t="str" cm="1">
        <f t="array" ref="T135">_xlfn.LET(_xlpm.Fin,_xlfn.XLOOKUP(M135,Exp_Shift[[Rating]:[Rating]],Exp_Shift[[Number]:[Number]],0,0),_xlpm.Init,_xlfn.XLOOKUP(M66,Exp_Shift[[Rating]:[Rating]],Exp_Shift[[Number]:[Number]],0,0),_xlpm.X,_xlfn.XLOOKUP(T66,Exp_Shift[[Rating]:[Rating]],Exp_Shift[[Number]:[Number]],0,0), IF(_xlpm.Fin-_xlpm.Init&gt;0, _xlfn.XLOOKUP(MIN(4,_xlpm.X+_xlpm.Fin-_xlpm.Init),Exp_Shift[[Number]:[Number]],Exp_Shift[[Rating]:[Rating]],0,0),IF(_xlpm.Fin-_xlpm.Init&lt;0,_xlfn.XLOOKUP(MAX(0,_xlpm.X-1),Exp_Shift[[Number]:[Number]],Exp_Shift[[Rating]:[Rating]],0,0),T66)))</f>
        <v>H</v>
      </c>
      <c r="U135" t="str" cm="1">
        <f t="array" ref="U135">_xlfn.LET(_xlpm.Fin,_xlfn.XLOOKUP(N135,Exp_Shift[[Rating]:[Rating]],Exp_Shift[[Number]:[Number]],0,0),_xlpm.Init,_xlfn.XLOOKUP(N66,Exp_Shift[[Rating]:[Rating]],Exp_Shift[[Number]:[Number]],0,0),_xlpm.X,_xlfn.XLOOKUP(U66,Exp_Shift[[Rating]:[Rating]],Exp_Shift[[Number]:[Number]],0,0), IF(_xlpm.Fin-_xlpm.Init&gt;0, _xlfn.XLOOKUP(MIN(4,_xlpm.X+_xlpm.Fin-_xlpm.Init),Exp_Shift[[Number]:[Number]],Exp_Shift[[Rating]:[Rating]],0,0),IF(_xlpm.Fin-_xlpm.Init&lt;0,_xlfn.XLOOKUP(MAX(0,_xlpm.X-1),Exp_Shift[[Number]:[Number]],Exp_Shift[[Rating]:[Rating]],0,0),U66)))</f>
        <v>E</v>
      </c>
      <c r="V135" t="str" cm="1">
        <f t="array" ref="V135">_xlfn.LET(_xlpm.Fin,_xlfn.XLOOKUP(O135,Exp_Shift[[Rating]:[Rating]],Exp_Shift[[Number]:[Number]],0,0),_xlpm.Init,_xlfn.XLOOKUP(O66,Exp_Shift[[Rating]:[Rating]],Exp_Shift[[Number]:[Number]],0,0),_xlpm.X,_xlfn.XLOOKUP(V66,Exp_Shift[[Rating]:[Rating]],Exp_Shift[[Number]:[Number]],0,0), IF(_xlpm.Fin-_xlpm.Init&gt;0, _xlfn.XLOOKUP(MIN(4,_xlpm.X+_xlpm.Fin-_xlpm.Init),Exp_Shift[[Number]:[Number]],Exp_Shift[[Rating]:[Rating]],0,0),IF(_xlpm.Fin-_xlpm.Init&lt;0,_xlfn.XLOOKUP(MAX(0,_xlpm.X-1),Exp_Shift[[Number]:[Number]],Exp_Shift[[Rating]:[Rating]],0,0),V66)))</f>
        <v>H</v>
      </c>
      <c r="W135" t="str" cm="1">
        <f t="array" ref="W135">_xlfn.LET(_xlpm.Fin,_xlfn.XLOOKUP(P135,Exp_Shift[[Rating]:[Rating]],Exp_Shift[[Number]:[Number]],0,0),_xlpm.Init,_xlfn.XLOOKUP(P66,Exp_Shift[[Rating]:[Rating]],Exp_Shift[[Number]:[Number]],0,0),_xlpm.X,_xlfn.XLOOKUP(W66,Exp_Shift[[Rating]:[Rating]],Exp_Shift[[Number]:[Number]],0,0), IF(_xlpm.Fin-_xlpm.Init&gt;0, _xlfn.XLOOKUP(MIN(4,_xlpm.X+_xlpm.Fin-_xlpm.Init),Exp_Shift[[Number]:[Number]],Exp_Shift[[Rating]:[Rating]],0,0),IF(_xlpm.Fin-_xlpm.Init&lt;0,_xlfn.XLOOKUP(MAX(0,_xlpm.X-1),Exp_Shift[[Number]:[Number]],Exp_Shift[[Rating]:[Rating]],0,0),W66)))</f>
        <v>H</v>
      </c>
      <c r="X135" s="19" t="str" cm="1">
        <f t="array" ref="X135">_xlfn.LET(_xlpm.Fin,_xlfn.XLOOKUP(Q135,Exp_Shift[[Rating]:[Rating]],Exp_Shift[[Number]:[Number]],0,0),_xlpm.Init,_xlfn.XLOOKUP(Q66,Exp_Shift[[Rating]:[Rating]],Exp_Shift[[Number]:[Number]],0,0),_xlpm.X,_xlfn.XLOOKUP(X66,Exp_Shift[[Rating]:[Rating]],Exp_Shift[[Number]:[Number]],0,0), IF(_xlpm.Fin-_xlpm.Init&gt;0, _xlfn.XLOOKUP(MIN(4,_xlpm.X+_xlpm.Fin-_xlpm.Init),Exp_Shift[[Number]:[Number]],Exp_Shift[[Rating]:[Rating]],0,0),IF(_xlpm.Fin-_xlpm.Init&lt;0,_xlfn.XLOOKUP(MAX(0,_xlpm.X-1),Exp_Shift[[Number]:[Number]],Exp_Shift[[Rating]:[Rating]],0,0),X66)))</f>
        <v>M</v>
      </c>
      <c r="Y135" s="23" t="str" cm="1">
        <f t="array" ref="Y135">_xlfn.LET(_xlpm.Fin,_xlfn.XLOOKUP(K135,Exp_Shift[[Rating]:[Rating]],Exp_Shift[[Number]:[Number]],0,0),_xlpm.Init,_xlfn.XLOOKUP(K66,Exp_Shift[[Rating]:[Rating]],Exp_Shift[[Number]:[Number]],0,0),_xlpm.X,_xlfn.XLOOKUP(Y66,Exp_Shift[[Rating]:[Rating]],Exp_Shift[[Number]:[Number]],0,0), IF(_xlpm.Fin-_xlpm.Init&gt;0, _xlfn.XLOOKUP(MIN(4,_xlpm.X+1),Exp_Shift[[Number]:[Number]],Exp_Shift[[Rating]:[Rating]],0,0),IF(_xlpm.Fin-_xlpm.Init&lt;0,_xlfn.XLOOKUP(MAX(0,_xlpm.X),Exp_Shift[[Number]:[Number]],Exp_Shift[[Rating]:[Rating]],0,0),Y66)))</f>
        <v>E</v>
      </c>
      <c r="Z135" t="str" cm="1">
        <f t="array" ref="Z135">_xlfn.LET(_xlpm.Fin,_xlfn.XLOOKUP(L135,Exp_Shift[[Rating]:[Rating]],Exp_Shift[[Number]:[Number]],0,0),_xlpm.Init,_xlfn.XLOOKUP(L66,Exp_Shift[[Rating]:[Rating]],Exp_Shift[[Number]:[Number]],0,0),_xlpm.X,_xlfn.XLOOKUP(Z66,Exp_Shift[[Rating]:[Rating]],Exp_Shift[[Number]:[Number]],0,0), IF(_xlpm.Fin-_xlpm.Init&gt;0, _xlfn.XLOOKUP(MIN(4,_xlpm.X+1),Exp_Shift[[Number]:[Number]],Exp_Shift[[Rating]:[Rating]],0,0),IF(_xlpm.Fin-_xlpm.Init&lt;0,_xlfn.XLOOKUP(MAX(0,_xlpm.X),Exp_Shift[[Number]:[Number]],Exp_Shift[[Rating]:[Rating]],0,0),Z66)))</f>
        <v>H</v>
      </c>
      <c r="AA135" t="str" cm="1">
        <f t="array" ref="AA135">_xlfn.LET(_xlpm.Fin,_xlfn.XLOOKUP(M135,Exp_Shift[[Rating]:[Rating]],Exp_Shift[[Number]:[Number]],0,0),_xlpm.Init,_xlfn.XLOOKUP(M66,Exp_Shift[[Rating]:[Rating]],Exp_Shift[[Number]:[Number]],0,0),_xlpm.X,_xlfn.XLOOKUP(AA66,Exp_Shift[[Rating]:[Rating]],Exp_Shift[[Number]:[Number]],0,0), IF(_xlpm.Fin-_xlpm.Init&gt;0, _xlfn.XLOOKUP(MIN(4,_xlpm.X+1),Exp_Shift[[Number]:[Number]],Exp_Shift[[Rating]:[Rating]],0,0),IF(_xlpm.Fin-_xlpm.Init&lt;0,_xlfn.XLOOKUP(MAX(0,_xlpm.X),Exp_Shift[[Number]:[Number]],Exp_Shift[[Rating]:[Rating]],0,0),AA66)))</f>
        <v>E</v>
      </c>
      <c r="AB135" t="str" cm="1">
        <f t="array" ref="AB135">_xlfn.LET(_xlpm.Fin,_xlfn.XLOOKUP(N135,Exp_Shift[[Rating]:[Rating]],Exp_Shift[[Number]:[Number]],0,0),_xlpm.Init,_xlfn.XLOOKUP(N66,Exp_Shift[[Rating]:[Rating]],Exp_Shift[[Number]:[Number]],0,0),_xlpm.X,_xlfn.XLOOKUP(AB66,Exp_Shift[[Rating]:[Rating]],Exp_Shift[[Number]:[Number]],0,0), IF(_xlpm.Fin-_xlpm.Init&gt;0, _xlfn.XLOOKUP(MIN(4,_xlpm.X+1),Exp_Shift[[Number]:[Number]],Exp_Shift[[Rating]:[Rating]],0,0),IF(_xlpm.Fin-_xlpm.Init&lt;0,_xlfn.XLOOKUP(MAX(0,_xlpm.X),Exp_Shift[[Number]:[Number]],Exp_Shift[[Rating]:[Rating]],0,0),AB66)))</f>
        <v>E</v>
      </c>
      <c r="AC135" t="str" cm="1">
        <f t="array" ref="AC135">_xlfn.LET(_xlpm.Fin,_xlfn.XLOOKUP(O135,Exp_Shift[[Rating]:[Rating]],Exp_Shift[[Number]:[Number]],0,0),_xlpm.Init,_xlfn.XLOOKUP(O66,Exp_Shift[[Rating]:[Rating]],Exp_Shift[[Number]:[Number]],0,0),_xlpm.X,_xlfn.XLOOKUP(AC66,Exp_Shift[[Rating]:[Rating]],Exp_Shift[[Number]:[Number]],0,0), IF(_xlpm.Fin-_xlpm.Init&gt;0, _xlfn.XLOOKUP(MIN(4,_xlpm.X+1),Exp_Shift[[Number]:[Number]],Exp_Shift[[Rating]:[Rating]],0,0),IF(_xlpm.Fin-_xlpm.Init&lt;0,_xlfn.XLOOKUP(MAX(0,_xlpm.X),Exp_Shift[[Number]:[Number]],Exp_Shift[[Rating]:[Rating]],0,0),AC66)))</f>
        <v>L</v>
      </c>
      <c r="AD135" t="str" cm="1">
        <f t="array" ref="AD135">_xlfn.LET(_xlpm.Fin,_xlfn.XLOOKUP(P135,Exp_Shift[[Rating]:[Rating]],Exp_Shift[[Number]:[Number]],0,0),_xlpm.Init,_xlfn.XLOOKUP(P66,Exp_Shift[[Rating]:[Rating]],Exp_Shift[[Number]:[Number]],0,0),_xlpm.X,_xlfn.XLOOKUP(AD66,Exp_Shift[[Rating]:[Rating]],Exp_Shift[[Number]:[Number]],0,0), IF(_xlpm.Fin-_xlpm.Init&gt;0, _xlfn.XLOOKUP(MIN(4,_xlpm.X+1),Exp_Shift[[Number]:[Number]],Exp_Shift[[Rating]:[Rating]],0,0),IF(_xlpm.Fin-_xlpm.Init&lt;0,_xlfn.XLOOKUP(MAX(0,_xlpm.X),Exp_Shift[[Number]:[Number]],Exp_Shift[[Rating]:[Rating]],0,0),AD66)))</f>
        <v>L</v>
      </c>
      <c r="AE135" s="27" t="str" cm="1">
        <f t="array" ref="AE135">_xlfn.LET(_xlpm.Fin,_xlfn.XLOOKUP(Q135,Exp_Shift[[Rating]:[Rating]],Exp_Shift[[Number]:[Number]],0,0),_xlpm.Init,_xlfn.XLOOKUP(Q66,Exp_Shift[[Rating]:[Rating]],Exp_Shift[[Number]:[Number]],0,0),_xlpm.X,_xlfn.XLOOKUP(AE66,Exp_Shift[[Rating]:[Rating]],Exp_Shift[[Number]:[Number]],0,0), IF(_xlpm.Fin-_xlpm.Init&gt;0, _xlfn.XLOOKUP(MIN(4,_xlpm.X+1),Exp_Shift[[Number]:[Number]],Exp_Shift[[Rating]:[Rating]],0,0),IF(_xlpm.Fin-_xlpm.Init&lt;0,_xlfn.XLOOKUP(MAX(0,_xlpm.X),Exp_Shift[[Number]:[Number]],Exp_Shift[[Rating]:[Rating]],0,0),AE66)))</f>
        <v>H</v>
      </c>
    </row>
    <row r="136" spans="8:31" ht="18" x14ac:dyDescent="0.35">
      <c r="H136" s="26">
        <v>79</v>
      </c>
      <c r="I136" s="332" t="s">
        <v>120</v>
      </c>
      <c r="J136" s="328" t="s">
        <v>223</v>
      </c>
      <c r="K136" s="23" t="str" cm="1">
        <f t="array" ref="K136">_xlfn.SWITCH(K113,"N/A","L","L","M","M","H","H","E","E","N/A")</f>
        <v>E</v>
      </c>
      <c r="L136" t="str" cm="1">
        <f t="array" ref="L136">_xlfn.SWITCH(L113,"N/A","L","L","M","M","H","H","E","E","N/A")</f>
        <v>N/A</v>
      </c>
      <c r="M136" t="str" cm="1">
        <f t="array" ref="M136">_xlfn.SWITCH(M113,"N/A","L","L","M","M","H","H","E","E","N/A")</f>
        <v>L</v>
      </c>
      <c r="N136" t="str" cm="1">
        <f t="array" ref="N136">_xlfn.SWITCH(N113,"N/A","L","L","M","M","H","H","E","E","N/A")</f>
        <v>E</v>
      </c>
      <c r="O136" t="str" cm="1">
        <f t="array" ref="O136">_xlfn.SWITCH(O113,"N/A","L","L","M","M","H","H","E","E","N/A")</f>
        <v>H</v>
      </c>
      <c r="P136" t="str" cm="1">
        <f t="array" ref="P136">_xlfn.SWITCH(P113,"N/A","L","L","M","M","H","H","E","E","N/A")</f>
        <v>H</v>
      </c>
      <c r="Q136" s="19" t="str" cm="1">
        <f t="array" ref="Q136">_xlfn.SWITCH(Q113,"N/A","L","L","M","M","H","H","E","E","N/A")</f>
        <v>N/A</v>
      </c>
      <c r="R136" s="23" t="str" cm="1">
        <f t="array" ref="R136">_xlfn.LET(_xlpm.Fin,_xlfn.XLOOKUP(K136,Exp_Shift[[Rating]:[Rating]],Exp_Shift[[Number]:[Number]],0,0),_xlpm.Init,_xlfn.XLOOKUP(K67,Exp_Shift[[Rating]:[Rating]],Exp_Shift[[Number]:[Number]],0,0),_xlpm.X,_xlfn.XLOOKUP(R67,Exp_Shift[[Rating]:[Rating]],Exp_Shift[[Number]:[Number]],0,0), IF(_xlpm.Fin-_xlpm.Init&gt;0, _xlfn.XLOOKUP(MIN(4,_xlpm.X+_xlpm.Fin-_xlpm.Init),Exp_Shift[[Number]:[Number]],Exp_Shift[[Rating]:[Rating]],0,0),IF(_xlpm.Fin-_xlpm.Init&lt;0,_xlfn.XLOOKUP(MAX(0,_xlpm.X-1),Exp_Shift[[Number]:[Number]],Exp_Shift[[Rating]:[Rating]],0,0),R67)))</f>
        <v>E</v>
      </c>
      <c r="S136" t="str" cm="1">
        <f t="array" ref="S136">_xlfn.LET(_xlpm.Fin,_xlfn.XLOOKUP(L136,Exp_Shift[[Rating]:[Rating]],Exp_Shift[[Number]:[Number]],0,0),_xlpm.Init,_xlfn.XLOOKUP(L67,Exp_Shift[[Rating]:[Rating]],Exp_Shift[[Number]:[Number]],0,0),_xlpm.X,_xlfn.XLOOKUP(S67,Exp_Shift[[Rating]:[Rating]],Exp_Shift[[Number]:[Number]],0,0), IF(_xlpm.Fin-_xlpm.Init&gt;0, _xlfn.XLOOKUP(MIN(4,_xlpm.X+_xlpm.Fin-_xlpm.Init),Exp_Shift[[Number]:[Number]],Exp_Shift[[Rating]:[Rating]],0,0),IF(_xlpm.Fin-_xlpm.Init&lt;0,_xlfn.XLOOKUP(MAX(0,_xlpm.X-1),Exp_Shift[[Number]:[Number]],Exp_Shift[[Rating]:[Rating]],0,0),S67)))</f>
        <v>L</v>
      </c>
      <c r="T136" t="str" cm="1">
        <f t="array" ref="T136">_xlfn.LET(_xlpm.Fin,_xlfn.XLOOKUP(M136,Exp_Shift[[Rating]:[Rating]],Exp_Shift[[Number]:[Number]],0,0),_xlpm.Init,_xlfn.XLOOKUP(M67,Exp_Shift[[Rating]:[Rating]],Exp_Shift[[Number]:[Number]],0,0),_xlpm.X,_xlfn.XLOOKUP(T67,Exp_Shift[[Rating]:[Rating]],Exp_Shift[[Number]:[Number]],0,0), IF(_xlpm.Fin-_xlpm.Init&gt;0, _xlfn.XLOOKUP(MIN(4,_xlpm.X+_xlpm.Fin-_xlpm.Init),Exp_Shift[[Number]:[Number]],Exp_Shift[[Rating]:[Rating]],0,0),IF(_xlpm.Fin-_xlpm.Init&lt;0,_xlfn.XLOOKUP(MAX(0,_xlpm.X-1),Exp_Shift[[Number]:[Number]],Exp_Shift[[Rating]:[Rating]],0,0),T67)))</f>
        <v>H</v>
      </c>
      <c r="U136" t="str" cm="1">
        <f t="array" ref="U136">_xlfn.LET(_xlpm.Fin,_xlfn.XLOOKUP(N136,Exp_Shift[[Rating]:[Rating]],Exp_Shift[[Number]:[Number]],0,0),_xlpm.Init,_xlfn.XLOOKUP(N67,Exp_Shift[[Rating]:[Rating]],Exp_Shift[[Number]:[Number]],0,0),_xlpm.X,_xlfn.XLOOKUP(U67,Exp_Shift[[Rating]:[Rating]],Exp_Shift[[Number]:[Number]],0,0), IF(_xlpm.Fin-_xlpm.Init&gt;0, _xlfn.XLOOKUP(MIN(4,_xlpm.X+_xlpm.Fin-_xlpm.Init),Exp_Shift[[Number]:[Number]],Exp_Shift[[Rating]:[Rating]],0,0),IF(_xlpm.Fin-_xlpm.Init&lt;0,_xlfn.XLOOKUP(MAX(0,_xlpm.X-1),Exp_Shift[[Number]:[Number]],Exp_Shift[[Rating]:[Rating]],0,0),U67)))</f>
        <v>E</v>
      </c>
      <c r="V136" t="str" cm="1">
        <f t="array" ref="V136">_xlfn.LET(_xlpm.Fin,_xlfn.XLOOKUP(O136,Exp_Shift[[Rating]:[Rating]],Exp_Shift[[Number]:[Number]],0,0),_xlpm.Init,_xlfn.XLOOKUP(O67,Exp_Shift[[Rating]:[Rating]],Exp_Shift[[Number]:[Number]],0,0),_xlpm.X,_xlfn.XLOOKUP(V67,Exp_Shift[[Rating]:[Rating]],Exp_Shift[[Number]:[Number]],0,0), IF(_xlpm.Fin-_xlpm.Init&gt;0, _xlfn.XLOOKUP(MIN(4,_xlpm.X+_xlpm.Fin-_xlpm.Init),Exp_Shift[[Number]:[Number]],Exp_Shift[[Rating]:[Rating]],0,0),IF(_xlpm.Fin-_xlpm.Init&lt;0,_xlfn.XLOOKUP(MAX(0,_xlpm.X-1),Exp_Shift[[Number]:[Number]],Exp_Shift[[Rating]:[Rating]],0,0),V67)))</f>
        <v>H</v>
      </c>
      <c r="W136" t="str" cm="1">
        <f t="array" ref="W136">_xlfn.LET(_xlpm.Fin,_xlfn.XLOOKUP(P136,Exp_Shift[[Rating]:[Rating]],Exp_Shift[[Number]:[Number]],0,0),_xlpm.Init,_xlfn.XLOOKUP(P67,Exp_Shift[[Rating]:[Rating]],Exp_Shift[[Number]:[Number]],0,0),_xlpm.X,_xlfn.XLOOKUP(W67,Exp_Shift[[Rating]:[Rating]],Exp_Shift[[Number]:[Number]],0,0), IF(_xlpm.Fin-_xlpm.Init&gt;0, _xlfn.XLOOKUP(MIN(4,_xlpm.X+_xlpm.Fin-_xlpm.Init),Exp_Shift[[Number]:[Number]],Exp_Shift[[Rating]:[Rating]],0,0),IF(_xlpm.Fin-_xlpm.Init&lt;0,_xlfn.XLOOKUP(MAX(0,_xlpm.X-1),Exp_Shift[[Number]:[Number]],Exp_Shift[[Rating]:[Rating]],0,0),W67)))</f>
        <v>H</v>
      </c>
      <c r="X136" s="19" t="str" cm="1">
        <f t="array" ref="X136">_xlfn.LET(_xlpm.Fin,_xlfn.XLOOKUP(Q136,Exp_Shift[[Rating]:[Rating]],Exp_Shift[[Number]:[Number]],0,0),_xlpm.Init,_xlfn.XLOOKUP(Q67,Exp_Shift[[Rating]:[Rating]],Exp_Shift[[Number]:[Number]],0,0),_xlpm.X,_xlfn.XLOOKUP(X67,Exp_Shift[[Rating]:[Rating]],Exp_Shift[[Number]:[Number]],0,0), IF(_xlpm.Fin-_xlpm.Init&gt;0, _xlfn.XLOOKUP(MIN(4,_xlpm.X+_xlpm.Fin-_xlpm.Init),Exp_Shift[[Number]:[Number]],Exp_Shift[[Rating]:[Rating]],0,0),IF(_xlpm.Fin-_xlpm.Init&lt;0,_xlfn.XLOOKUP(MAX(0,_xlpm.X-1),Exp_Shift[[Number]:[Number]],Exp_Shift[[Rating]:[Rating]],0,0),X67)))</f>
        <v>M</v>
      </c>
      <c r="Y136" s="23" t="str" cm="1">
        <f t="array" ref="Y136">_xlfn.LET(_xlpm.Fin,_xlfn.XLOOKUP(K136,Exp_Shift[[Rating]:[Rating]],Exp_Shift[[Number]:[Number]],0,0),_xlpm.Init,_xlfn.XLOOKUP(K67,Exp_Shift[[Rating]:[Rating]],Exp_Shift[[Number]:[Number]],0,0),_xlpm.X,_xlfn.XLOOKUP(Y67,Exp_Shift[[Rating]:[Rating]],Exp_Shift[[Number]:[Number]],0,0), IF(_xlpm.Fin-_xlpm.Init&gt;0, _xlfn.XLOOKUP(MIN(4,_xlpm.X+1),Exp_Shift[[Number]:[Number]],Exp_Shift[[Rating]:[Rating]],0,0),IF(_xlpm.Fin-_xlpm.Init&lt;0,_xlfn.XLOOKUP(MAX(0,_xlpm.X),Exp_Shift[[Number]:[Number]],Exp_Shift[[Rating]:[Rating]],0,0),Y67)))</f>
        <v>E</v>
      </c>
      <c r="Z136" t="str" cm="1">
        <f t="array" ref="Z136">_xlfn.LET(_xlpm.Fin,_xlfn.XLOOKUP(L136,Exp_Shift[[Rating]:[Rating]],Exp_Shift[[Number]:[Number]],0,0),_xlpm.Init,_xlfn.XLOOKUP(L67,Exp_Shift[[Rating]:[Rating]],Exp_Shift[[Number]:[Number]],0,0),_xlpm.X,_xlfn.XLOOKUP(Z67,Exp_Shift[[Rating]:[Rating]],Exp_Shift[[Number]:[Number]],0,0), IF(_xlpm.Fin-_xlpm.Init&gt;0, _xlfn.XLOOKUP(MIN(4,_xlpm.X+1),Exp_Shift[[Number]:[Number]],Exp_Shift[[Rating]:[Rating]],0,0),IF(_xlpm.Fin-_xlpm.Init&lt;0,_xlfn.XLOOKUP(MAX(0,_xlpm.X),Exp_Shift[[Number]:[Number]],Exp_Shift[[Rating]:[Rating]],0,0),Z67)))</f>
        <v>H</v>
      </c>
      <c r="AA136" t="str" cm="1">
        <f t="array" ref="AA136">_xlfn.LET(_xlpm.Fin,_xlfn.XLOOKUP(M136,Exp_Shift[[Rating]:[Rating]],Exp_Shift[[Number]:[Number]],0,0),_xlpm.Init,_xlfn.XLOOKUP(M67,Exp_Shift[[Rating]:[Rating]],Exp_Shift[[Number]:[Number]],0,0),_xlpm.X,_xlfn.XLOOKUP(AA67,Exp_Shift[[Rating]:[Rating]],Exp_Shift[[Number]:[Number]],0,0), IF(_xlpm.Fin-_xlpm.Init&gt;0, _xlfn.XLOOKUP(MIN(4,_xlpm.X+1),Exp_Shift[[Number]:[Number]],Exp_Shift[[Rating]:[Rating]],0,0),IF(_xlpm.Fin-_xlpm.Init&lt;0,_xlfn.XLOOKUP(MAX(0,_xlpm.X),Exp_Shift[[Number]:[Number]],Exp_Shift[[Rating]:[Rating]],0,0),AA67)))</f>
        <v>E</v>
      </c>
      <c r="AB136" t="str" cm="1">
        <f t="array" ref="AB136">_xlfn.LET(_xlpm.Fin,_xlfn.XLOOKUP(N136,Exp_Shift[[Rating]:[Rating]],Exp_Shift[[Number]:[Number]],0,0),_xlpm.Init,_xlfn.XLOOKUP(N67,Exp_Shift[[Rating]:[Rating]],Exp_Shift[[Number]:[Number]],0,0),_xlpm.X,_xlfn.XLOOKUP(AB67,Exp_Shift[[Rating]:[Rating]],Exp_Shift[[Number]:[Number]],0,0), IF(_xlpm.Fin-_xlpm.Init&gt;0, _xlfn.XLOOKUP(MIN(4,_xlpm.X+1),Exp_Shift[[Number]:[Number]],Exp_Shift[[Rating]:[Rating]],0,0),IF(_xlpm.Fin-_xlpm.Init&lt;0,_xlfn.XLOOKUP(MAX(0,_xlpm.X),Exp_Shift[[Number]:[Number]],Exp_Shift[[Rating]:[Rating]],0,0),AB67)))</f>
        <v>H</v>
      </c>
      <c r="AC136" t="str" cm="1">
        <f t="array" ref="AC136">_xlfn.LET(_xlpm.Fin,_xlfn.XLOOKUP(O136,Exp_Shift[[Rating]:[Rating]],Exp_Shift[[Number]:[Number]],0,0),_xlpm.Init,_xlfn.XLOOKUP(O67,Exp_Shift[[Rating]:[Rating]],Exp_Shift[[Number]:[Number]],0,0),_xlpm.X,_xlfn.XLOOKUP(AC67,Exp_Shift[[Rating]:[Rating]],Exp_Shift[[Number]:[Number]],0,0), IF(_xlpm.Fin-_xlpm.Init&gt;0, _xlfn.XLOOKUP(MIN(4,_xlpm.X+1),Exp_Shift[[Number]:[Number]],Exp_Shift[[Rating]:[Rating]],0,0),IF(_xlpm.Fin-_xlpm.Init&lt;0,_xlfn.XLOOKUP(MAX(0,_xlpm.X),Exp_Shift[[Number]:[Number]],Exp_Shift[[Rating]:[Rating]],0,0),AC67)))</f>
        <v>L</v>
      </c>
      <c r="AD136" t="str" cm="1">
        <f t="array" ref="AD136">_xlfn.LET(_xlpm.Fin,_xlfn.XLOOKUP(P136,Exp_Shift[[Rating]:[Rating]],Exp_Shift[[Number]:[Number]],0,0),_xlpm.Init,_xlfn.XLOOKUP(P67,Exp_Shift[[Rating]:[Rating]],Exp_Shift[[Number]:[Number]],0,0),_xlpm.X,_xlfn.XLOOKUP(AD67,Exp_Shift[[Rating]:[Rating]],Exp_Shift[[Number]:[Number]],0,0), IF(_xlpm.Fin-_xlpm.Init&gt;0, _xlfn.XLOOKUP(MIN(4,_xlpm.X+1),Exp_Shift[[Number]:[Number]],Exp_Shift[[Rating]:[Rating]],0,0),IF(_xlpm.Fin-_xlpm.Init&lt;0,_xlfn.XLOOKUP(MAX(0,_xlpm.X),Exp_Shift[[Number]:[Number]],Exp_Shift[[Rating]:[Rating]],0,0),AD67)))</f>
        <v>L</v>
      </c>
      <c r="AE136" s="27" t="str" cm="1">
        <f t="array" ref="AE136">_xlfn.LET(_xlpm.Fin,_xlfn.XLOOKUP(Q136,Exp_Shift[[Rating]:[Rating]],Exp_Shift[[Number]:[Number]],0,0),_xlpm.Init,_xlfn.XLOOKUP(Q67,Exp_Shift[[Rating]:[Rating]],Exp_Shift[[Number]:[Number]],0,0),_xlpm.X,_xlfn.XLOOKUP(AE67,Exp_Shift[[Rating]:[Rating]],Exp_Shift[[Number]:[Number]],0,0), IF(_xlpm.Fin-_xlpm.Init&gt;0, _xlfn.XLOOKUP(MIN(4,_xlpm.X+1),Exp_Shift[[Number]:[Number]],Exp_Shift[[Rating]:[Rating]],0,0),IF(_xlpm.Fin-_xlpm.Init&lt;0,_xlfn.XLOOKUP(MAX(0,_xlpm.X),Exp_Shift[[Number]:[Number]],Exp_Shift[[Rating]:[Rating]],0,0),AE67)))</f>
        <v>H</v>
      </c>
    </row>
    <row r="137" spans="8:31" ht="18" x14ac:dyDescent="0.35">
      <c r="H137" s="26">
        <v>80</v>
      </c>
      <c r="I137" s="332" t="s">
        <v>120</v>
      </c>
      <c r="J137" s="328" t="s">
        <v>122</v>
      </c>
      <c r="K137" s="23" t="str" cm="1">
        <f t="array" ref="K137">_xlfn.SWITCH(K114,"N/A","L","L","M","M","H","H","E","E","N/A")</f>
        <v>E</v>
      </c>
      <c r="L137" t="str" cm="1">
        <f t="array" ref="L137">_xlfn.SWITCH(L114,"N/A","L","L","M","M","H","H","E","E","N/A")</f>
        <v>E</v>
      </c>
      <c r="M137" t="str" cm="1">
        <f t="array" ref="M137">_xlfn.SWITCH(M114,"N/A","L","L","M","M","H","H","E","E","N/A")</f>
        <v>N/A</v>
      </c>
      <c r="N137" t="str" cm="1">
        <f t="array" ref="N137">_xlfn.SWITCH(N114,"N/A","L","L","M","M","H","H","E","E","N/A")</f>
        <v>N/A</v>
      </c>
      <c r="O137" t="str" cm="1">
        <f t="array" ref="O137">_xlfn.SWITCH(O114,"N/A","L","L","M","M","H","H","E","E","N/A")</f>
        <v>H</v>
      </c>
      <c r="P137" t="str" cm="1">
        <f t="array" ref="P137">_xlfn.SWITCH(P114,"N/A","L","L","M","M","H","H","E","E","N/A")</f>
        <v>H</v>
      </c>
      <c r="Q137" s="19" t="str" cm="1">
        <f t="array" ref="Q137">_xlfn.SWITCH(Q114,"N/A","L","L","M","M","H","H","E","E","N/A")</f>
        <v>N/A</v>
      </c>
      <c r="R137" s="23" t="str" cm="1">
        <f t="array" ref="R137">_xlfn.LET(_xlpm.Fin,_xlfn.XLOOKUP(K137,Exp_Shift[[Rating]:[Rating]],Exp_Shift[[Number]:[Number]],0,0),_xlpm.Init,_xlfn.XLOOKUP(K68,Exp_Shift[[Rating]:[Rating]],Exp_Shift[[Number]:[Number]],0,0),_xlpm.X,_xlfn.XLOOKUP(R68,Exp_Shift[[Rating]:[Rating]],Exp_Shift[[Number]:[Number]],0,0), IF(_xlpm.Fin-_xlpm.Init&gt;0, _xlfn.XLOOKUP(MIN(4,_xlpm.X+_xlpm.Fin-_xlpm.Init),Exp_Shift[[Number]:[Number]],Exp_Shift[[Rating]:[Rating]],0,0),IF(_xlpm.Fin-_xlpm.Init&lt;0,_xlfn.XLOOKUP(MAX(0,_xlpm.X-1),Exp_Shift[[Number]:[Number]],Exp_Shift[[Rating]:[Rating]],0,0),R68)))</f>
        <v>E</v>
      </c>
      <c r="S137" t="str" cm="1">
        <f t="array" ref="S137">_xlfn.LET(_xlpm.Fin,_xlfn.XLOOKUP(L137,Exp_Shift[[Rating]:[Rating]],Exp_Shift[[Number]:[Number]],0,0),_xlpm.Init,_xlfn.XLOOKUP(L68,Exp_Shift[[Rating]:[Rating]],Exp_Shift[[Number]:[Number]],0,0),_xlpm.X,_xlfn.XLOOKUP(S68,Exp_Shift[[Rating]:[Rating]],Exp_Shift[[Number]:[Number]],0,0), IF(_xlpm.Fin-_xlpm.Init&gt;0, _xlfn.XLOOKUP(MIN(4,_xlpm.X+_xlpm.Fin-_xlpm.Init),Exp_Shift[[Number]:[Number]],Exp_Shift[[Rating]:[Rating]],0,0),IF(_xlpm.Fin-_xlpm.Init&lt;0,_xlfn.XLOOKUP(MAX(0,_xlpm.X-1),Exp_Shift[[Number]:[Number]],Exp_Shift[[Rating]:[Rating]],0,0),S68)))</f>
        <v>E</v>
      </c>
      <c r="T137" t="str" cm="1">
        <f t="array" ref="T137">_xlfn.LET(_xlpm.Fin,_xlfn.XLOOKUP(M137,Exp_Shift[[Rating]:[Rating]],Exp_Shift[[Number]:[Number]],0,0),_xlpm.Init,_xlfn.XLOOKUP(M68,Exp_Shift[[Rating]:[Rating]],Exp_Shift[[Number]:[Number]],0,0),_xlpm.X,_xlfn.XLOOKUP(T68,Exp_Shift[[Rating]:[Rating]],Exp_Shift[[Number]:[Number]],0,0), IF(_xlpm.Fin-_xlpm.Init&gt;0, _xlfn.XLOOKUP(MIN(4,_xlpm.X+_xlpm.Fin-_xlpm.Init),Exp_Shift[[Number]:[Number]],Exp_Shift[[Rating]:[Rating]],0,0),IF(_xlpm.Fin-_xlpm.Init&lt;0,_xlfn.XLOOKUP(MAX(0,_xlpm.X-1),Exp_Shift[[Number]:[Number]],Exp_Shift[[Rating]:[Rating]],0,0),T68)))</f>
        <v>M</v>
      </c>
      <c r="U137" t="str" cm="1">
        <f t="array" ref="U137">_xlfn.LET(_xlpm.Fin,_xlfn.XLOOKUP(N137,Exp_Shift[[Rating]:[Rating]],Exp_Shift[[Number]:[Number]],0,0),_xlpm.Init,_xlfn.XLOOKUP(N68,Exp_Shift[[Rating]:[Rating]],Exp_Shift[[Number]:[Number]],0,0),_xlpm.X,_xlfn.XLOOKUP(U68,Exp_Shift[[Rating]:[Rating]],Exp_Shift[[Number]:[Number]],0,0), IF(_xlpm.Fin-_xlpm.Init&gt;0, _xlfn.XLOOKUP(MIN(4,_xlpm.X+_xlpm.Fin-_xlpm.Init),Exp_Shift[[Number]:[Number]],Exp_Shift[[Rating]:[Rating]],0,0),IF(_xlpm.Fin-_xlpm.Init&lt;0,_xlfn.XLOOKUP(MAX(0,_xlpm.X-1),Exp_Shift[[Number]:[Number]],Exp_Shift[[Rating]:[Rating]],0,0),U68)))</f>
        <v>M</v>
      </c>
      <c r="V137" t="str" cm="1">
        <f t="array" ref="V137">_xlfn.LET(_xlpm.Fin,_xlfn.XLOOKUP(O137,Exp_Shift[[Rating]:[Rating]],Exp_Shift[[Number]:[Number]],0,0),_xlpm.Init,_xlfn.XLOOKUP(O68,Exp_Shift[[Rating]:[Rating]],Exp_Shift[[Number]:[Number]],0,0),_xlpm.X,_xlfn.XLOOKUP(V68,Exp_Shift[[Rating]:[Rating]],Exp_Shift[[Number]:[Number]],0,0), IF(_xlpm.Fin-_xlpm.Init&gt;0, _xlfn.XLOOKUP(MIN(4,_xlpm.X+_xlpm.Fin-_xlpm.Init),Exp_Shift[[Number]:[Number]],Exp_Shift[[Rating]:[Rating]],0,0),IF(_xlpm.Fin-_xlpm.Init&lt;0,_xlfn.XLOOKUP(MAX(0,_xlpm.X-1),Exp_Shift[[Number]:[Number]],Exp_Shift[[Rating]:[Rating]],0,0),V68)))</f>
        <v>H</v>
      </c>
      <c r="W137" t="str" cm="1">
        <f t="array" ref="W137">_xlfn.LET(_xlpm.Fin,_xlfn.XLOOKUP(P137,Exp_Shift[[Rating]:[Rating]],Exp_Shift[[Number]:[Number]],0,0),_xlpm.Init,_xlfn.XLOOKUP(P68,Exp_Shift[[Rating]:[Rating]],Exp_Shift[[Number]:[Number]],0,0),_xlpm.X,_xlfn.XLOOKUP(W68,Exp_Shift[[Rating]:[Rating]],Exp_Shift[[Number]:[Number]],0,0), IF(_xlpm.Fin-_xlpm.Init&gt;0, _xlfn.XLOOKUP(MIN(4,_xlpm.X+_xlpm.Fin-_xlpm.Init),Exp_Shift[[Number]:[Number]],Exp_Shift[[Rating]:[Rating]],0,0),IF(_xlpm.Fin-_xlpm.Init&lt;0,_xlfn.XLOOKUP(MAX(0,_xlpm.X-1),Exp_Shift[[Number]:[Number]],Exp_Shift[[Rating]:[Rating]],0,0),W68)))</f>
        <v>H</v>
      </c>
      <c r="X137" s="19" t="str" cm="1">
        <f t="array" ref="X137">_xlfn.LET(_xlpm.Fin,_xlfn.XLOOKUP(Q137,Exp_Shift[[Rating]:[Rating]],Exp_Shift[[Number]:[Number]],0,0),_xlpm.Init,_xlfn.XLOOKUP(Q68,Exp_Shift[[Rating]:[Rating]],Exp_Shift[[Number]:[Number]],0,0),_xlpm.X,_xlfn.XLOOKUP(X68,Exp_Shift[[Rating]:[Rating]],Exp_Shift[[Number]:[Number]],0,0), IF(_xlpm.Fin-_xlpm.Init&gt;0, _xlfn.XLOOKUP(MIN(4,_xlpm.X+_xlpm.Fin-_xlpm.Init),Exp_Shift[[Number]:[Number]],Exp_Shift[[Rating]:[Rating]],0,0),IF(_xlpm.Fin-_xlpm.Init&lt;0,_xlfn.XLOOKUP(MAX(0,_xlpm.X-1),Exp_Shift[[Number]:[Number]],Exp_Shift[[Rating]:[Rating]],0,0),X68)))</f>
        <v>M</v>
      </c>
      <c r="Y137" s="23" t="str" cm="1">
        <f t="array" ref="Y137">_xlfn.LET(_xlpm.Fin,_xlfn.XLOOKUP(K137,Exp_Shift[[Rating]:[Rating]],Exp_Shift[[Number]:[Number]],0,0),_xlpm.Init,_xlfn.XLOOKUP(K68,Exp_Shift[[Rating]:[Rating]],Exp_Shift[[Number]:[Number]],0,0),_xlpm.X,_xlfn.XLOOKUP(Y68,Exp_Shift[[Rating]:[Rating]],Exp_Shift[[Number]:[Number]],0,0), IF(_xlpm.Fin-_xlpm.Init&gt;0, _xlfn.XLOOKUP(MIN(4,_xlpm.X+1),Exp_Shift[[Number]:[Number]],Exp_Shift[[Rating]:[Rating]],0,0),IF(_xlpm.Fin-_xlpm.Init&lt;0,_xlfn.XLOOKUP(MAX(0,_xlpm.X),Exp_Shift[[Number]:[Number]],Exp_Shift[[Rating]:[Rating]],0,0),Y68)))</f>
        <v>E</v>
      </c>
      <c r="Z137" t="str" cm="1">
        <f t="array" ref="Z137">_xlfn.LET(_xlpm.Fin,_xlfn.XLOOKUP(L137,Exp_Shift[[Rating]:[Rating]],Exp_Shift[[Number]:[Number]],0,0),_xlpm.Init,_xlfn.XLOOKUP(L68,Exp_Shift[[Rating]:[Rating]],Exp_Shift[[Number]:[Number]],0,0),_xlpm.X,_xlfn.XLOOKUP(Z68,Exp_Shift[[Rating]:[Rating]],Exp_Shift[[Number]:[Number]],0,0), IF(_xlpm.Fin-_xlpm.Init&gt;0, _xlfn.XLOOKUP(MIN(4,_xlpm.X+1),Exp_Shift[[Number]:[Number]],Exp_Shift[[Rating]:[Rating]],0,0),IF(_xlpm.Fin-_xlpm.Init&lt;0,_xlfn.XLOOKUP(MAX(0,_xlpm.X),Exp_Shift[[Number]:[Number]],Exp_Shift[[Rating]:[Rating]],0,0),Z68)))</f>
        <v>E</v>
      </c>
      <c r="AA137" t="str" cm="1">
        <f t="array" ref="AA137">_xlfn.LET(_xlpm.Fin,_xlfn.XLOOKUP(M137,Exp_Shift[[Rating]:[Rating]],Exp_Shift[[Number]:[Number]],0,0),_xlpm.Init,_xlfn.XLOOKUP(M68,Exp_Shift[[Rating]:[Rating]],Exp_Shift[[Number]:[Number]],0,0),_xlpm.X,_xlfn.XLOOKUP(AA68,Exp_Shift[[Rating]:[Rating]],Exp_Shift[[Number]:[Number]],0,0), IF(_xlpm.Fin-_xlpm.Init&gt;0, _xlfn.XLOOKUP(MIN(4,_xlpm.X+1),Exp_Shift[[Number]:[Number]],Exp_Shift[[Rating]:[Rating]],0,0),IF(_xlpm.Fin-_xlpm.Init&lt;0,_xlfn.XLOOKUP(MAX(0,_xlpm.X),Exp_Shift[[Number]:[Number]],Exp_Shift[[Rating]:[Rating]],0,0),AA68)))</f>
        <v>E</v>
      </c>
      <c r="AB137" t="str" cm="1">
        <f t="array" ref="AB137">_xlfn.LET(_xlpm.Fin,_xlfn.XLOOKUP(N137,Exp_Shift[[Rating]:[Rating]],Exp_Shift[[Number]:[Number]],0,0),_xlpm.Init,_xlfn.XLOOKUP(N68,Exp_Shift[[Rating]:[Rating]],Exp_Shift[[Number]:[Number]],0,0),_xlpm.X,_xlfn.XLOOKUP(AB68,Exp_Shift[[Rating]:[Rating]],Exp_Shift[[Number]:[Number]],0,0), IF(_xlpm.Fin-_xlpm.Init&gt;0, _xlfn.XLOOKUP(MIN(4,_xlpm.X+1),Exp_Shift[[Number]:[Number]],Exp_Shift[[Rating]:[Rating]],0,0),IF(_xlpm.Fin-_xlpm.Init&lt;0,_xlfn.XLOOKUP(MAX(0,_xlpm.X),Exp_Shift[[Number]:[Number]],Exp_Shift[[Rating]:[Rating]],0,0),AB68)))</f>
        <v>E</v>
      </c>
      <c r="AC137" t="str" cm="1">
        <f t="array" ref="AC137">_xlfn.LET(_xlpm.Fin,_xlfn.XLOOKUP(O137,Exp_Shift[[Rating]:[Rating]],Exp_Shift[[Number]:[Number]],0,0),_xlpm.Init,_xlfn.XLOOKUP(O68,Exp_Shift[[Rating]:[Rating]],Exp_Shift[[Number]:[Number]],0,0),_xlpm.X,_xlfn.XLOOKUP(AC68,Exp_Shift[[Rating]:[Rating]],Exp_Shift[[Number]:[Number]],0,0), IF(_xlpm.Fin-_xlpm.Init&gt;0, _xlfn.XLOOKUP(MIN(4,_xlpm.X+1),Exp_Shift[[Number]:[Number]],Exp_Shift[[Rating]:[Rating]],0,0),IF(_xlpm.Fin-_xlpm.Init&lt;0,_xlfn.XLOOKUP(MAX(0,_xlpm.X),Exp_Shift[[Number]:[Number]],Exp_Shift[[Rating]:[Rating]],0,0),AC68)))</f>
        <v>L</v>
      </c>
      <c r="AD137" t="str" cm="1">
        <f t="array" ref="AD137">_xlfn.LET(_xlpm.Fin,_xlfn.XLOOKUP(P137,Exp_Shift[[Rating]:[Rating]],Exp_Shift[[Number]:[Number]],0,0),_xlpm.Init,_xlfn.XLOOKUP(P68,Exp_Shift[[Rating]:[Rating]],Exp_Shift[[Number]:[Number]],0,0),_xlpm.X,_xlfn.XLOOKUP(AD68,Exp_Shift[[Rating]:[Rating]],Exp_Shift[[Number]:[Number]],0,0), IF(_xlpm.Fin-_xlpm.Init&gt;0, _xlfn.XLOOKUP(MIN(4,_xlpm.X+1),Exp_Shift[[Number]:[Number]],Exp_Shift[[Rating]:[Rating]],0,0),IF(_xlpm.Fin-_xlpm.Init&lt;0,_xlfn.XLOOKUP(MAX(0,_xlpm.X),Exp_Shift[[Number]:[Number]],Exp_Shift[[Rating]:[Rating]],0,0),AD68)))</f>
        <v>L</v>
      </c>
      <c r="AE137" s="27" t="str" cm="1">
        <f t="array" ref="AE137">_xlfn.LET(_xlpm.Fin,_xlfn.XLOOKUP(Q137,Exp_Shift[[Rating]:[Rating]],Exp_Shift[[Number]:[Number]],0,0),_xlpm.Init,_xlfn.XLOOKUP(Q68,Exp_Shift[[Rating]:[Rating]],Exp_Shift[[Number]:[Number]],0,0),_xlpm.X,_xlfn.XLOOKUP(AE68,Exp_Shift[[Rating]:[Rating]],Exp_Shift[[Number]:[Number]],0,0), IF(_xlpm.Fin-_xlpm.Init&gt;0, _xlfn.XLOOKUP(MIN(4,_xlpm.X+1),Exp_Shift[[Number]:[Number]],Exp_Shift[[Rating]:[Rating]],0,0),IF(_xlpm.Fin-_xlpm.Init&lt;0,_xlfn.XLOOKUP(MAX(0,_xlpm.X),Exp_Shift[[Number]:[Number]],Exp_Shift[[Rating]:[Rating]],0,0),AE68)))</f>
        <v>E</v>
      </c>
    </row>
    <row r="138" spans="8:31" ht="18" x14ac:dyDescent="0.35">
      <c r="H138" s="26">
        <v>81</v>
      </c>
      <c r="I138" s="332" t="s">
        <v>120</v>
      </c>
      <c r="J138" s="328" t="s">
        <v>224</v>
      </c>
      <c r="K138" s="23" t="str" cm="1">
        <f t="array" ref="K138">_xlfn.SWITCH(K115,"N/A","L","L","M","M","H","H","E","E","N/A")</f>
        <v>N/A</v>
      </c>
      <c r="L138" t="str" cm="1">
        <f t="array" ref="L138">_xlfn.SWITCH(L115,"N/A","L","L","M","M","H","H","E","E","N/A")</f>
        <v>L</v>
      </c>
      <c r="M138" t="str" cm="1">
        <f t="array" ref="M138">_xlfn.SWITCH(M115,"N/A","L","L","M","M","H","H","E","E","N/A")</f>
        <v>L</v>
      </c>
      <c r="N138" t="str" cm="1">
        <f t="array" ref="N138">_xlfn.SWITCH(N115,"N/A","L","L","M","M","H","H","E","E","N/A")</f>
        <v>H</v>
      </c>
      <c r="O138" t="str" cm="1">
        <f t="array" ref="O138">_xlfn.SWITCH(O115,"N/A","L","L","M","M","H","H","E","E","N/A")</f>
        <v>H</v>
      </c>
      <c r="P138" t="str" cm="1">
        <f t="array" ref="P138">_xlfn.SWITCH(P115,"N/A","L","L","M","M","H","H","E","E","N/A")</f>
        <v>H</v>
      </c>
      <c r="Q138" s="19" t="str" cm="1">
        <f t="array" ref="Q138">_xlfn.SWITCH(Q115,"N/A","L","L","M","M","H","H","E","E","N/A")</f>
        <v>E</v>
      </c>
      <c r="R138" s="23" t="str" cm="1">
        <f t="array" ref="R138">_xlfn.LET(_xlpm.Fin,_xlfn.XLOOKUP(K138,Exp_Shift[[Rating]:[Rating]],Exp_Shift[[Number]:[Number]],0,0),_xlpm.Init,_xlfn.XLOOKUP(K69,Exp_Shift[[Rating]:[Rating]],Exp_Shift[[Number]:[Number]],0,0),_xlpm.X,_xlfn.XLOOKUP(R69,Exp_Shift[[Rating]:[Rating]],Exp_Shift[[Number]:[Number]],0,0), IF(_xlpm.Fin-_xlpm.Init&gt;0, _xlfn.XLOOKUP(MIN(4,_xlpm.X+_xlpm.Fin-_xlpm.Init),Exp_Shift[[Number]:[Number]],Exp_Shift[[Rating]:[Rating]],0,0),IF(_xlpm.Fin-_xlpm.Init&lt;0,_xlfn.XLOOKUP(MAX(0,_xlpm.X-1),Exp_Shift[[Number]:[Number]],Exp_Shift[[Rating]:[Rating]],0,0),R69)))</f>
        <v>M</v>
      </c>
      <c r="S138" t="str" cm="1">
        <f t="array" ref="S138">_xlfn.LET(_xlpm.Fin,_xlfn.XLOOKUP(L138,Exp_Shift[[Rating]:[Rating]],Exp_Shift[[Number]:[Number]],0,0),_xlpm.Init,_xlfn.XLOOKUP(L69,Exp_Shift[[Rating]:[Rating]],Exp_Shift[[Number]:[Number]],0,0),_xlpm.X,_xlfn.XLOOKUP(S69,Exp_Shift[[Rating]:[Rating]],Exp_Shift[[Number]:[Number]],0,0), IF(_xlpm.Fin-_xlpm.Init&gt;0, _xlfn.XLOOKUP(MIN(4,_xlpm.X+_xlpm.Fin-_xlpm.Init),Exp_Shift[[Number]:[Number]],Exp_Shift[[Rating]:[Rating]],0,0),IF(_xlpm.Fin-_xlpm.Init&lt;0,_xlfn.XLOOKUP(MAX(0,_xlpm.X-1),Exp_Shift[[Number]:[Number]],Exp_Shift[[Rating]:[Rating]],0,0),S69)))</f>
        <v>M</v>
      </c>
      <c r="T138" t="str" cm="1">
        <f t="array" ref="T138">_xlfn.LET(_xlpm.Fin,_xlfn.XLOOKUP(M138,Exp_Shift[[Rating]:[Rating]],Exp_Shift[[Number]:[Number]],0,0),_xlpm.Init,_xlfn.XLOOKUP(M69,Exp_Shift[[Rating]:[Rating]],Exp_Shift[[Number]:[Number]],0,0),_xlpm.X,_xlfn.XLOOKUP(T69,Exp_Shift[[Rating]:[Rating]],Exp_Shift[[Number]:[Number]],0,0), IF(_xlpm.Fin-_xlpm.Init&gt;0, _xlfn.XLOOKUP(MIN(4,_xlpm.X+_xlpm.Fin-_xlpm.Init),Exp_Shift[[Number]:[Number]],Exp_Shift[[Rating]:[Rating]],0,0),IF(_xlpm.Fin-_xlpm.Init&lt;0,_xlfn.XLOOKUP(MAX(0,_xlpm.X-1),Exp_Shift[[Number]:[Number]],Exp_Shift[[Rating]:[Rating]],0,0),T69)))</f>
        <v>H</v>
      </c>
      <c r="U138" t="str" cm="1">
        <f t="array" ref="U138">_xlfn.LET(_xlpm.Fin,_xlfn.XLOOKUP(N138,Exp_Shift[[Rating]:[Rating]],Exp_Shift[[Number]:[Number]],0,0),_xlpm.Init,_xlfn.XLOOKUP(N69,Exp_Shift[[Rating]:[Rating]],Exp_Shift[[Number]:[Number]],0,0),_xlpm.X,_xlfn.XLOOKUP(U69,Exp_Shift[[Rating]:[Rating]],Exp_Shift[[Number]:[Number]],0,0), IF(_xlpm.Fin-_xlpm.Init&gt;0, _xlfn.XLOOKUP(MIN(4,_xlpm.X+_xlpm.Fin-_xlpm.Init),Exp_Shift[[Number]:[Number]],Exp_Shift[[Rating]:[Rating]],0,0),IF(_xlpm.Fin-_xlpm.Init&lt;0,_xlfn.XLOOKUP(MAX(0,_xlpm.X-1),Exp_Shift[[Number]:[Number]],Exp_Shift[[Rating]:[Rating]],0,0),U69)))</f>
        <v>H</v>
      </c>
      <c r="V138" t="str" cm="1">
        <f t="array" ref="V138">_xlfn.LET(_xlpm.Fin,_xlfn.XLOOKUP(O138,Exp_Shift[[Rating]:[Rating]],Exp_Shift[[Number]:[Number]],0,0),_xlpm.Init,_xlfn.XLOOKUP(O69,Exp_Shift[[Rating]:[Rating]],Exp_Shift[[Number]:[Number]],0,0),_xlpm.X,_xlfn.XLOOKUP(V69,Exp_Shift[[Rating]:[Rating]],Exp_Shift[[Number]:[Number]],0,0), IF(_xlpm.Fin-_xlpm.Init&gt;0, _xlfn.XLOOKUP(MIN(4,_xlpm.X+_xlpm.Fin-_xlpm.Init),Exp_Shift[[Number]:[Number]],Exp_Shift[[Rating]:[Rating]],0,0),IF(_xlpm.Fin-_xlpm.Init&lt;0,_xlfn.XLOOKUP(MAX(0,_xlpm.X-1),Exp_Shift[[Number]:[Number]],Exp_Shift[[Rating]:[Rating]],0,0),V69)))</f>
        <v>H</v>
      </c>
      <c r="W138" t="str" cm="1">
        <f t="array" ref="W138">_xlfn.LET(_xlpm.Fin,_xlfn.XLOOKUP(P138,Exp_Shift[[Rating]:[Rating]],Exp_Shift[[Number]:[Number]],0,0),_xlpm.Init,_xlfn.XLOOKUP(P69,Exp_Shift[[Rating]:[Rating]],Exp_Shift[[Number]:[Number]],0,0),_xlpm.X,_xlfn.XLOOKUP(W69,Exp_Shift[[Rating]:[Rating]],Exp_Shift[[Number]:[Number]],0,0), IF(_xlpm.Fin-_xlpm.Init&gt;0, _xlfn.XLOOKUP(MIN(4,_xlpm.X+_xlpm.Fin-_xlpm.Init),Exp_Shift[[Number]:[Number]],Exp_Shift[[Rating]:[Rating]],0,0),IF(_xlpm.Fin-_xlpm.Init&lt;0,_xlfn.XLOOKUP(MAX(0,_xlpm.X-1),Exp_Shift[[Number]:[Number]],Exp_Shift[[Rating]:[Rating]],0,0),W69)))</f>
        <v>H</v>
      </c>
      <c r="X138" s="19" t="str" cm="1">
        <f t="array" ref="X138">_xlfn.LET(_xlpm.Fin,_xlfn.XLOOKUP(Q138,Exp_Shift[[Rating]:[Rating]],Exp_Shift[[Number]:[Number]],0,0),_xlpm.Init,_xlfn.XLOOKUP(Q69,Exp_Shift[[Rating]:[Rating]],Exp_Shift[[Number]:[Number]],0,0),_xlpm.X,_xlfn.XLOOKUP(X69,Exp_Shift[[Rating]:[Rating]],Exp_Shift[[Number]:[Number]],0,0), IF(_xlpm.Fin-_xlpm.Init&gt;0, _xlfn.XLOOKUP(MIN(4,_xlpm.X+_xlpm.Fin-_xlpm.Init),Exp_Shift[[Number]:[Number]],Exp_Shift[[Rating]:[Rating]],0,0),IF(_xlpm.Fin-_xlpm.Init&lt;0,_xlfn.XLOOKUP(MAX(0,_xlpm.X-1),Exp_Shift[[Number]:[Number]],Exp_Shift[[Rating]:[Rating]],0,0),X69)))</f>
        <v>E</v>
      </c>
      <c r="Y138" s="23" t="str" cm="1">
        <f t="array" ref="Y138">_xlfn.LET(_xlpm.Fin,_xlfn.XLOOKUP(K138,Exp_Shift[[Rating]:[Rating]],Exp_Shift[[Number]:[Number]],0,0),_xlpm.Init,_xlfn.XLOOKUP(K69,Exp_Shift[[Rating]:[Rating]],Exp_Shift[[Number]:[Number]],0,0),_xlpm.X,_xlfn.XLOOKUP(Y69,Exp_Shift[[Rating]:[Rating]],Exp_Shift[[Number]:[Number]],0,0), IF(_xlpm.Fin-_xlpm.Init&gt;0, _xlfn.XLOOKUP(MIN(4,_xlpm.X+1),Exp_Shift[[Number]:[Number]],Exp_Shift[[Rating]:[Rating]],0,0),IF(_xlpm.Fin-_xlpm.Init&lt;0,_xlfn.XLOOKUP(MAX(0,_xlpm.X),Exp_Shift[[Number]:[Number]],Exp_Shift[[Rating]:[Rating]],0,0),Y69)))</f>
        <v>E</v>
      </c>
      <c r="Z138" t="str" cm="1">
        <f t="array" ref="Z138">_xlfn.LET(_xlpm.Fin,_xlfn.XLOOKUP(L138,Exp_Shift[[Rating]:[Rating]],Exp_Shift[[Number]:[Number]],0,0),_xlpm.Init,_xlfn.XLOOKUP(L69,Exp_Shift[[Rating]:[Rating]],Exp_Shift[[Number]:[Number]],0,0),_xlpm.X,_xlfn.XLOOKUP(Z69,Exp_Shift[[Rating]:[Rating]],Exp_Shift[[Number]:[Number]],0,0), IF(_xlpm.Fin-_xlpm.Init&gt;0, _xlfn.XLOOKUP(MIN(4,_xlpm.X+1),Exp_Shift[[Number]:[Number]],Exp_Shift[[Rating]:[Rating]],0,0),IF(_xlpm.Fin-_xlpm.Init&lt;0,_xlfn.XLOOKUP(MAX(0,_xlpm.X),Exp_Shift[[Number]:[Number]],Exp_Shift[[Rating]:[Rating]],0,0),Z69)))</f>
        <v>E</v>
      </c>
      <c r="AA138" t="str" cm="1">
        <f t="array" ref="AA138">_xlfn.LET(_xlpm.Fin,_xlfn.XLOOKUP(M138,Exp_Shift[[Rating]:[Rating]],Exp_Shift[[Number]:[Number]],0,0),_xlpm.Init,_xlfn.XLOOKUP(M69,Exp_Shift[[Rating]:[Rating]],Exp_Shift[[Number]:[Number]],0,0),_xlpm.X,_xlfn.XLOOKUP(AA69,Exp_Shift[[Rating]:[Rating]],Exp_Shift[[Number]:[Number]],0,0), IF(_xlpm.Fin-_xlpm.Init&gt;0, _xlfn.XLOOKUP(MIN(4,_xlpm.X+1),Exp_Shift[[Number]:[Number]],Exp_Shift[[Rating]:[Rating]],0,0),IF(_xlpm.Fin-_xlpm.Init&lt;0,_xlfn.XLOOKUP(MAX(0,_xlpm.X),Exp_Shift[[Number]:[Number]],Exp_Shift[[Rating]:[Rating]],0,0),AA69)))</f>
        <v>E</v>
      </c>
      <c r="AB138" t="str" cm="1">
        <f t="array" ref="AB138">_xlfn.LET(_xlpm.Fin,_xlfn.XLOOKUP(N138,Exp_Shift[[Rating]:[Rating]],Exp_Shift[[Number]:[Number]],0,0),_xlpm.Init,_xlfn.XLOOKUP(N69,Exp_Shift[[Rating]:[Rating]],Exp_Shift[[Number]:[Number]],0,0),_xlpm.X,_xlfn.XLOOKUP(AB69,Exp_Shift[[Rating]:[Rating]],Exp_Shift[[Number]:[Number]],0,0), IF(_xlpm.Fin-_xlpm.Init&gt;0, _xlfn.XLOOKUP(MIN(4,_xlpm.X+1),Exp_Shift[[Number]:[Number]],Exp_Shift[[Rating]:[Rating]],0,0),IF(_xlpm.Fin-_xlpm.Init&lt;0,_xlfn.XLOOKUP(MAX(0,_xlpm.X),Exp_Shift[[Number]:[Number]],Exp_Shift[[Rating]:[Rating]],0,0),AB69)))</f>
        <v>L</v>
      </c>
      <c r="AC138" t="str" cm="1">
        <f t="array" ref="AC138">_xlfn.LET(_xlpm.Fin,_xlfn.XLOOKUP(O138,Exp_Shift[[Rating]:[Rating]],Exp_Shift[[Number]:[Number]],0,0),_xlpm.Init,_xlfn.XLOOKUP(O69,Exp_Shift[[Rating]:[Rating]],Exp_Shift[[Number]:[Number]],0,0),_xlpm.X,_xlfn.XLOOKUP(AC69,Exp_Shift[[Rating]:[Rating]],Exp_Shift[[Number]:[Number]],0,0), IF(_xlpm.Fin-_xlpm.Init&gt;0, _xlfn.XLOOKUP(MIN(4,_xlpm.X+1),Exp_Shift[[Number]:[Number]],Exp_Shift[[Rating]:[Rating]],0,0),IF(_xlpm.Fin-_xlpm.Init&lt;0,_xlfn.XLOOKUP(MAX(0,_xlpm.X),Exp_Shift[[Number]:[Number]],Exp_Shift[[Rating]:[Rating]],0,0),AC69)))</f>
        <v>L</v>
      </c>
      <c r="AD138" t="str" cm="1">
        <f t="array" ref="AD138">_xlfn.LET(_xlpm.Fin,_xlfn.XLOOKUP(P138,Exp_Shift[[Rating]:[Rating]],Exp_Shift[[Number]:[Number]],0,0),_xlpm.Init,_xlfn.XLOOKUP(P69,Exp_Shift[[Rating]:[Rating]],Exp_Shift[[Number]:[Number]],0,0),_xlpm.X,_xlfn.XLOOKUP(AD69,Exp_Shift[[Rating]:[Rating]],Exp_Shift[[Number]:[Number]],0,0), IF(_xlpm.Fin-_xlpm.Init&gt;0, _xlfn.XLOOKUP(MIN(4,_xlpm.X+1),Exp_Shift[[Number]:[Number]],Exp_Shift[[Rating]:[Rating]],0,0),IF(_xlpm.Fin-_xlpm.Init&lt;0,_xlfn.XLOOKUP(MAX(0,_xlpm.X),Exp_Shift[[Number]:[Number]],Exp_Shift[[Rating]:[Rating]],0,0),AD69)))</f>
        <v>L</v>
      </c>
      <c r="AE138" s="27" t="str" cm="1">
        <f t="array" ref="AE138">_xlfn.LET(_xlpm.Fin,_xlfn.XLOOKUP(Q138,Exp_Shift[[Rating]:[Rating]],Exp_Shift[[Number]:[Number]],0,0),_xlpm.Init,_xlfn.XLOOKUP(Q69,Exp_Shift[[Rating]:[Rating]],Exp_Shift[[Number]:[Number]],0,0),_xlpm.X,_xlfn.XLOOKUP(AE69,Exp_Shift[[Rating]:[Rating]],Exp_Shift[[Number]:[Number]],0,0), IF(_xlpm.Fin-_xlpm.Init&gt;0, _xlfn.XLOOKUP(MIN(4,_xlpm.X+1),Exp_Shift[[Number]:[Number]],Exp_Shift[[Rating]:[Rating]],0,0),IF(_xlpm.Fin-_xlpm.Init&lt;0,_xlfn.XLOOKUP(MAX(0,_xlpm.X),Exp_Shift[[Number]:[Number]],Exp_Shift[[Rating]:[Rating]],0,0),AE69)))</f>
        <v>H</v>
      </c>
    </row>
    <row r="139" spans="8:31" ht="18" x14ac:dyDescent="0.35">
      <c r="H139" s="26">
        <v>82</v>
      </c>
      <c r="I139" s="332" t="s">
        <v>120</v>
      </c>
      <c r="J139" s="328" t="s">
        <v>212</v>
      </c>
      <c r="K139" s="23" t="str" cm="1">
        <f t="array" ref="K139">_xlfn.SWITCH(K116,"N/A","L","L","M","M","H","H","E","E","N/A")</f>
        <v>N/A</v>
      </c>
      <c r="L139" t="str" cm="1">
        <f t="array" ref="L139">_xlfn.SWITCH(L116,"N/A","L","L","M","M","H","H","E","E","N/A")</f>
        <v>N/A</v>
      </c>
      <c r="M139" t="str" cm="1">
        <f t="array" ref="M139">_xlfn.SWITCH(M116,"N/A","L","L","M","M","H","H","E","E","N/A")</f>
        <v>L</v>
      </c>
      <c r="N139" t="str" cm="1">
        <f t="array" ref="N139">_xlfn.SWITCH(N116,"N/A","L","L","M","M","H","H","E","E","N/A")</f>
        <v>N/A</v>
      </c>
      <c r="O139" t="str" cm="1">
        <f t="array" ref="O139">_xlfn.SWITCH(O116,"N/A","L","L","M","M","H","H","E","E","N/A")</f>
        <v>H</v>
      </c>
      <c r="P139" t="str" cm="1">
        <f t="array" ref="P139">_xlfn.SWITCH(P116,"N/A","L","L","M","M","H","H","E","E","N/A")</f>
        <v>H</v>
      </c>
      <c r="Q139" s="19" t="str" cm="1">
        <f t="array" ref="Q139">_xlfn.SWITCH(Q116,"N/A","L","L","M","M","H","H","E","E","N/A")</f>
        <v>N/A</v>
      </c>
      <c r="R139" s="23" t="str" cm="1">
        <f t="array" ref="R139">_xlfn.LET(_xlpm.Fin,_xlfn.XLOOKUP(K139,Exp_Shift[[Rating]:[Rating]],Exp_Shift[[Number]:[Number]],0,0),_xlpm.Init,_xlfn.XLOOKUP(K70,Exp_Shift[[Rating]:[Rating]],Exp_Shift[[Number]:[Number]],0,0),_xlpm.X,_xlfn.XLOOKUP(R70,Exp_Shift[[Rating]:[Rating]],Exp_Shift[[Number]:[Number]],0,0), IF(_xlpm.Fin-_xlpm.Init&gt;0, _xlfn.XLOOKUP(MIN(4,_xlpm.X+_xlpm.Fin-_xlpm.Init),Exp_Shift[[Number]:[Number]],Exp_Shift[[Rating]:[Rating]],0,0),IF(_xlpm.Fin-_xlpm.Init&lt;0,_xlfn.XLOOKUP(MAX(0,_xlpm.X-1),Exp_Shift[[Number]:[Number]],Exp_Shift[[Rating]:[Rating]],0,0),R70)))</f>
        <v>M</v>
      </c>
      <c r="S139" t="str" cm="1">
        <f t="array" ref="S139">_xlfn.LET(_xlpm.Fin,_xlfn.XLOOKUP(L139,Exp_Shift[[Rating]:[Rating]],Exp_Shift[[Number]:[Number]],0,0),_xlpm.Init,_xlfn.XLOOKUP(L70,Exp_Shift[[Rating]:[Rating]],Exp_Shift[[Number]:[Number]],0,0),_xlpm.X,_xlfn.XLOOKUP(S70,Exp_Shift[[Rating]:[Rating]],Exp_Shift[[Number]:[Number]],0,0), IF(_xlpm.Fin-_xlpm.Init&gt;0, _xlfn.XLOOKUP(MIN(4,_xlpm.X+_xlpm.Fin-_xlpm.Init),Exp_Shift[[Number]:[Number]],Exp_Shift[[Rating]:[Rating]],0,0),IF(_xlpm.Fin-_xlpm.Init&lt;0,_xlfn.XLOOKUP(MAX(0,_xlpm.X-1),Exp_Shift[[Number]:[Number]],Exp_Shift[[Rating]:[Rating]],0,0),S70)))</f>
        <v>L</v>
      </c>
      <c r="T139" t="str" cm="1">
        <f t="array" ref="T139">_xlfn.LET(_xlpm.Fin,_xlfn.XLOOKUP(M139,Exp_Shift[[Rating]:[Rating]],Exp_Shift[[Number]:[Number]],0,0),_xlpm.Init,_xlfn.XLOOKUP(M70,Exp_Shift[[Rating]:[Rating]],Exp_Shift[[Number]:[Number]],0,0),_xlpm.X,_xlfn.XLOOKUP(T70,Exp_Shift[[Rating]:[Rating]],Exp_Shift[[Number]:[Number]],0,0), IF(_xlpm.Fin-_xlpm.Init&gt;0, _xlfn.XLOOKUP(MIN(4,_xlpm.X+_xlpm.Fin-_xlpm.Init),Exp_Shift[[Number]:[Number]],Exp_Shift[[Rating]:[Rating]],0,0),IF(_xlpm.Fin-_xlpm.Init&lt;0,_xlfn.XLOOKUP(MAX(0,_xlpm.X-1),Exp_Shift[[Number]:[Number]],Exp_Shift[[Rating]:[Rating]],0,0),T70)))</f>
        <v>H</v>
      </c>
      <c r="U139" t="str" cm="1">
        <f t="array" ref="U139">_xlfn.LET(_xlpm.Fin,_xlfn.XLOOKUP(N139,Exp_Shift[[Rating]:[Rating]],Exp_Shift[[Number]:[Number]],0,0),_xlpm.Init,_xlfn.XLOOKUP(N70,Exp_Shift[[Rating]:[Rating]],Exp_Shift[[Number]:[Number]],0,0),_xlpm.X,_xlfn.XLOOKUP(U70,Exp_Shift[[Rating]:[Rating]],Exp_Shift[[Number]:[Number]],0,0), IF(_xlpm.Fin-_xlpm.Init&gt;0, _xlfn.XLOOKUP(MIN(4,_xlpm.X+_xlpm.Fin-_xlpm.Init),Exp_Shift[[Number]:[Number]],Exp_Shift[[Rating]:[Rating]],0,0),IF(_xlpm.Fin-_xlpm.Init&lt;0,_xlfn.XLOOKUP(MAX(0,_xlpm.X-1),Exp_Shift[[Number]:[Number]],Exp_Shift[[Rating]:[Rating]],0,0),U70)))</f>
        <v>M</v>
      </c>
      <c r="V139" t="str" cm="1">
        <f t="array" ref="V139">_xlfn.LET(_xlpm.Fin,_xlfn.XLOOKUP(O139,Exp_Shift[[Rating]:[Rating]],Exp_Shift[[Number]:[Number]],0,0),_xlpm.Init,_xlfn.XLOOKUP(O70,Exp_Shift[[Rating]:[Rating]],Exp_Shift[[Number]:[Number]],0,0),_xlpm.X,_xlfn.XLOOKUP(V70,Exp_Shift[[Rating]:[Rating]],Exp_Shift[[Number]:[Number]],0,0), IF(_xlpm.Fin-_xlpm.Init&gt;0, _xlfn.XLOOKUP(MIN(4,_xlpm.X+_xlpm.Fin-_xlpm.Init),Exp_Shift[[Number]:[Number]],Exp_Shift[[Rating]:[Rating]],0,0),IF(_xlpm.Fin-_xlpm.Init&lt;0,_xlfn.XLOOKUP(MAX(0,_xlpm.X-1),Exp_Shift[[Number]:[Number]],Exp_Shift[[Rating]:[Rating]],0,0),V70)))</f>
        <v>H</v>
      </c>
      <c r="W139" t="str" cm="1">
        <f t="array" ref="W139">_xlfn.LET(_xlpm.Fin,_xlfn.XLOOKUP(P139,Exp_Shift[[Rating]:[Rating]],Exp_Shift[[Number]:[Number]],0,0),_xlpm.Init,_xlfn.XLOOKUP(P70,Exp_Shift[[Rating]:[Rating]],Exp_Shift[[Number]:[Number]],0,0),_xlpm.X,_xlfn.XLOOKUP(W70,Exp_Shift[[Rating]:[Rating]],Exp_Shift[[Number]:[Number]],0,0), IF(_xlpm.Fin-_xlpm.Init&gt;0, _xlfn.XLOOKUP(MIN(4,_xlpm.X+_xlpm.Fin-_xlpm.Init),Exp_Shift[[Number]:[Number]],Exp_Shift[[Rating]:[Rating]],0,0),IF(_xlpm.Fin-_xlpm.Init&lt;0,_xlfn.XLOOKUP(MAX(0,_xlpm.X-1),Exp_Shift[[Number]:[Number]],Exp_Shift[[Rating]:[Rating]],0,0),W70)))</f>
        <v>H</v>
      </c>
      <c r="X139" s="19" t="str" cm="1">
        <f t="array" ref="X139">_xlfn.LET(_xlpm.Fin,_xlfn.XLOOKUP(Q139,Exp_Shift[[Rating]:[Rating]],Exp_Shift[[Number]:[Number]],0,0),_xlpm.Init,_xlfn.XLOOKUP(Q70,Exp_Shift[[Rating]:[Rating]],Exp_Shift[[Number]:[Number]],0,0),_xlpm.X,_xlfn.XLOOKUP(X70,Exp_Shift[[Rating]:[Rating]],Exp_Shift[[Number]:[Number]],0,0), IF(_xlpm.Fin-_xlpm.Init&gt;0, _xlfn.XLOOKUP(MIN(4,_xlpm.X+_xlpm.Fin-_xlpm.Init),Exp_Shift[[Number]:[Number]],Exp_Shift[[Rating]:[Rating]],0,0),IF(_xlpm.Fin-_xlpm.Init&lt;0,_xlfn.XLOOKUP(MAX(0,_xlpm.X-1),Exp_Shift[[Number]:[Number]],Exp_Shift[[Rating]:[Rating]],0,0),X70)))</f>
        <v>M</v>
      </c>
      <c r="Y139" s="23" t="str" cm="1">
        <f t="array" ref="Y139">_xlfn.LET(_xlpm.Fin,_xlfn.XLOOKUP(K139,Exp_Shift[[Rating]:[Rating]],Exp_Shift[[Number]:[Number]],0,0),_xlpm.Init,_xlfn.XLOOKUP(K70,Exp_Shift[[Rating]:[Rating]],Exp_Shift[[Number]:[Number]],0,0),_xlpm.X,_xlfn.XLOOKUP(Y70,Exp_Shift[[Rating]:[Rating]],Exp_Shift[[Number]:[Number]],0,0), IF(_xlpm.Fin-_xlpm.Init&gt;0, _xlfn.XLOOKUP(MIN(4,_xlpm.X+1),Exp_Shift[[Number]:[Number]],Exp_Shift[[Rating]:[Rating]],0,0),IF(_xlpm.Fin-_xlpm.Init&lt;0,_xlfn.XLOOKUP(MAX(0,_xlpm.X),Exp_Shift[[Number]:[Number]],Exp_Shift[[Rating]:[Rating]],0,0),Y70)))</f>
        <v>E</v>
      </c>
      <c r="Z139" t="str" cm="1">
        <f t="array" ref="Z139">_xlfn.LET(_xlpm.Fin,_xlfn.XLOOKUP(L139,Exp_Shift[[Rating]:[Rating]],Exp_Shift[[Number]:[Number]],0,0),_xlpm.Init,_xlfn.XLOOKUP(L70,Exp_Shift[[Rating]:[Rating]],Exp_Shift[[Number]:[Number]],0,0),_xlpm.X,_xlfn.XLOOKUP(Z70,Exp_Shift[[Rating]:[Rating]],Exp_Shift[[Number]:[Number]],0,0), IF(_xlpm.Fin-_xlpm.Init&gt;0, _xlfn.XLOOKUP(MIN(4,_xlpm.X+1),Exp_Shift[[Number]:[Number]],Exp_Shift[[Rating]:[Rating]],0,0),IF(_xlpm.Fin-_xlpm.Init&lt;0,_xlfn.XLOOKUP(MAX(0,_xlpm.X),Exp_Shift[[Number]:[Number]],Exp_Shift[[Rating]:[Rating]],0,0),Z70)))</f>
        <v>H</v>
      </c>
      <c r="AA139" t="str" cm="1">
        <f t="array" ref="AA139">_xlfn.LET(_xlpm.Fin,_xlfn.XLOOKUP(M139,Exp_Shift[[Rating]:[Rating]],Exp_Shift[[Number]:[Number]],0,0),_xlpm.Init,_xlfn.XLOOKUP(M70,Exp_Shift[[Rating]:[Rating]],Exp_Shift[[Number]:[Number]],0,0),_xlpm.X,_xlfn.XLOOKUP(AA70,Exp_Shift[[Rating]:[Rating]],Exp_Shift[[Number]:[Number]],0,0), IF(_xlpm.Fin-_xlpm.Init&gt;0, _xlfn.XLOOKUP(MIN(4,_xlpm.X+1),Exp_Shift[[Number]:[Number]],Exp_Shift[[Rating]:[Rating]],0,0),IF(_xlpm.Fin-_xlpm.Init&lt;0,_xlfn.XLOOKUP(MAX(0,_xlpm.X),Exp_Shift[[Number]:[Number]],Exp_Shift[[Rating]:[Rating]],0,0),AA70)))</f>
        <v>E</v>
      </c>
      <c r="AB139" t="str" cm="1">
        <f t="array" ref="AB139">_xlfn.LET(_xlpm.Fin,_xlfn.XLOOKUP(N139,Exp_Shift[[Rating]:[Rating]],Exp_Shift[[Number]:[Number]],0,0),_xlpm.Init,_xlfn.XLOOKUP(N70,Exp_Shift[[Rating]:[Rating]],Exp_Shift[[Number]:[Number]],0,0),_xlpm.X,_xlfn.XLOOKUP(AB70,Exp_Shift[[Rating]:[Rating]],Exp_Shift[[Number]:[Number]],0,0), IF(_xlpm.Fin-_xlpm.Init&gt;0, _xlfn.XLOOKUP(MIN(4,_xlpm.X+1),Exp_Shift[[Number]:[Number]],Exp_Shift[[Rating]:[Rating]],0,0),IF(_xlpm.Fin-_xlpm.Init&lt;0,_xlfn.XLOOKUP(MAX(0,_xlpm.X),Exp_Shift[[Number]:[Number]],Exp_Shift[[Rating]:[Rating]],0,0),AB70)))</f>
        <v>E</v>
      </c>
      <c r="AC139" t="str" cm="1">
        <f t="array" ref="AC139">_xlfn.LET(_xlpm.Fin,_xlfn.XLOOKUP(O139,Exp_Shift[[Rating]:[Rating]],Exp_Shift[[Number]:[Number]],0,0),_xlpm.Init,_xlfn.XLOOKUP(O70,Exp_Shift[[Rating]:[Rating]],Exp_Shift[[Number]:[Number]],0,0),_xlpm.X,_xlfn.XLOOKUP(AC70,Exp_Shift[[Rating]:[Rating]],Exp_Shift[[Number]:[Number]],0,0), IF(_xlpm.Fin-_xlpm.Init&gt;0, _xlfn.XLOOKUP(MIN(4,_xlpm.X+1),Exp_Shift[[Number]:[Number]],Exp_Shift[[Rating]:[Rating]],0,0),IF(_xlpm.Fin-_xlpm.Init&lt;0,_xlfn.XLOOKUP(MAX(0,_xlpm.X),Exp_Shift[[Number]:[Number]],Exp_Shift[[Rating]:[Rating]],0,0),AC70)))</f>
        <v>L</v>
      </c>
      <c r="AD139" t="str" cm="1">
        <f t="array" ref="AD139">_xlfn.LET(_xlpm.Fin,_xlfn.XLOOKUP(P139,Exp_Shift[[Rating]:[Rating]],Exp_Shift[[Number]:[Number]],0,0),_xlpm.Init,_xlfn.XLOOKUP(P70,Exp_Shift[[Rating]:[Rating]],Exp_Shift[[Number]:[Number]],0,0),_xlpm.X,_xlfn.XLOOKUP(AD70,Exp_Shift[[Rating]:[Rating]],Exp_Shift[[Number]:[Number]],0,0), IF(_xlpm.Fin-_xlpm.Init&gt;0, _xlfn.XLOOKUP(MIN(4,_xlpm.X+1),Exp_Shift[[Number]:[Number]],Exp_Shift[[Rating]:[Rating]],0,0),IF(_xlpm.Fin-_xlpm.Init&lt;0,_xlfn.XLOOKUP(MAX(0,_xlpm.X),Exp_Shift[[Number]:[Number]],Exp_Shift[[Rating]:[Rating]],0,0),AD70)))</f>
        <v>L</v>
      </c>
      <c r="AE139" s="27" t="str" cm="1">
        <f t="array" ref="AE139">_xlfn.LET(_xlpm.Fin,_xlfn.XLOOKUP(Q139,Exp_Shift[[Rating]:[Rating]],Exp_Shift[[Number]:[Number]],0,0),_xlpm.Init,_xlfn.XLOOKUP(Q70,Exp_Shift[[Rating]:[Rating]],Exp_Shift[[Number]:[Number]],0,0),_xlpm.X,_xlfn.XLOOKUP(AE70,Exp_Shift[[Rating]:[Rating]],Exp_Shift[[Number]:[Number]],0,0), IF(_xlpm.Fin-_xlpm.Init&gt;0, _xlfn.XLOOKUP(MIN(4,_xlpm.X+1),Exp_Shift[[Number]:[Number]],Exp_Shift[[Rating]:[Rating]],0,0),IF(_xlpm.Fin-_xlpm.Init&lt;0,_xlfn.XLOOKUP(MAX(0,_xlpm.X),Exp_Shift[[Number]:[Number]],Exp_Shift[[Rating]:[Rating]],0,0),AE70)))</f>
        <v>H</v>
      </c>
    </row>
    <row r="140" spans="8:31" ht="18" x14ac:dyDescent="0.35">
      <c r="H140" s="26">
        <v>83</v>
      </c>
      <c r="I140" s="332" t="s">
        <v>120</v>
      </c>
      <c r="J140" s="328" t="s">
        <v>74</v>
      </c>
      <c r="K140" s="23" t="str" cm="1">
        <f t="array" ref="K140">_xlfn.SWITCH(K117,"N/A","L","L","M","M","H","H","E","E","N/A")</f>
        <v>E</v>
      </c>
      <c r="L140" t="str" cm="1">
        <f t="array" ref="L140">_xlfn.SWITCH(L117,"N/A","L","L","M","M","H","H","E","E","N/A")</f>
        <v>N/A</v>
      </c>
      <c r="M140" t="str" cm="1">
        <f t="array" ref="M140">_xlfn.SWITCH(M117,"N/A","L","L","M","M","H","H","E","E","N/A")</f>
        <v>N/A</v>
      </c>
      <c r="N140" t="str" cm="1">
        <f t="array" ref="N140">_xlfn.SWITCH(N117,"N/A","L","L","M","M","H","H","E","E","N/A")</f>
        <v>H</v>
      </c>
      <c r="O140" t="str" cm="1">
        <f t="array" ref="O140">_xlfn.SWITCH(O117,"N/A","L","L","M","M","H","H","E","E","N/A")</f>
        <v>H</v>
      </c>
      <c r="P140" t="str" cm="1">
        <f t="array" ref="P140">_xlfn.SWITCH(P117,"N/A","L","L","M","M","H","H","E","E","N/A")</f>
        <v>H</v>
      </c>
      <c r="Q140" s="19" t="str" cm="1">
        <f t="array" ref="Q140">_xlfn.SWITCH(Q117,"N/A","L","L","M","M","H","H","E","E","N/A")</f>
        <v>N/A</v>
      </c>
      <c r="R140" s="23" t="str" cm="1">
        <f t="array" ref="R140">_xlfn.LET(_xlpm.Fin,_xlfn.XLOOKUP(K140,Exp_Shift[[Rating]:[Rating]],Exp_Shift[[Number]:[Number]],0,0),_xlpm.Init,_xlfn.XLOOKUP(K71,Exp_Shift[[Rating]:[Rating]],Exp_Shift[[Number]:[Number]],0,0),_xlpm.X,_xlfn.XLOOKUP(R71,Exp_Shift[[Rating]:[Rating]],Exp_Shift[[Number]:[Number]],0,0), IF(_xlpm.Fin-_xlpm.Init&gt;0, _xlfn.XLOOKUP(MIN(4,_xlpm.X+_xlpm.Fin-_xlpm.Init),Exp_Shift[[Number]:[Number]],Exp_Shift[[Rating]:[Rating]],0,0),IF(_xlpm.Fin-_xlpm.Init&lt;0,_xlfn.XLOOKUP(MAX(0,_xlpm.X-1),Exp_Shift[[Number]:[Number]],Exp_Shift[[Rating]:[Rating]],0,0),R71)))</f>
        <v>E</v>
      </c>
      <c r="S140" t="str" cm="1">
        <f t="array" ref="S140">_xlfn.LET(_xlpm.Fin,_xlfn.XLOOKUP(L140,Exp_Shift[[Rating]:[Rating]],Exp_Shift[[Number]:[Number]],0,0),_xlpm.Init,_xlfn.XLOOKUP(L71,Exp_Shift[[Rating]:[Rating]],Exp_Shift[[Number]:[Number]],0,0),_xlpm.X,_xlfn.XLOOKUP(S71,Exp_Shift[[Rating]:[Rating]],Exp_Shift[[Number]:[Number]],0,0), IF(_xlpm.Fin-_xlpm.Init&gt;0, _xlfn.XLOOKUP(MIN(4,_xlpm.X+_xlpm.Fin-_xlpm.Init),Exp_Shift[[Number]:[Number]],Exp_Shift[[Rating]:[Rating]],0,0),IF(_xlpm.Fin-_xlpm.Init&lt;0,_xlfn.XLOOKUP(MAX(0,_xlpm.X-1),Exp_Shift[[Number]:[Number]],Exp_Shift[[Rating]:[Rating]],0,0),S71)))</f>
        <v>L</v>
      </c>
      <c r="T140" t="str" cm="1">
        <f t="array" ref="T140">_xlfn.LET(_xlpm.Fin,_xlfn.XLOOKUP(M140,Exp_Shift[[Rating]:[Rating]],Exp_Shift[[Number]:[Number]],0,0),_xlpm.Init,_xlfn.XLOOKUP(M71,Exp_Shift[[Rating]:[Rating]],Exp_Shift[[Number]:[Number]],0,0),_xlpm.X,_xlfn.XLOOKUP(T71,Exp_Shift[[Rating]:[Rating]],Exp_Shift[[Number]:[Number]],0,0), IF(_xlpm.Fin-_xlpm.Init&gt;0, _xlfn.XLOOKUP(MIN(4,_xlpm.X+_xlpm.Fin-_xlpm.Init),Exp_Shift[[Number]:[Number]],Exp_Shift[[Rating]:[Rating]],0,0),IF(_xlpm.Fin-_xlpm.Init&lt;0,_xlfn.XLOOKUP(MAX(0,_xlpm.X-1),Exp_Shift[[Number]:[Number]],Exp_Shift[[Rating]:[Rating]],0,0),T71)))</f>
        <v>M</v>
      </c>
      <c r="U140" t="str" cm="1">
        <f t="array" ref="U140">_xlfn.LET(_xlpm.Fin,_xlfn.XLOOKUP(N140,Exp_Shift[[Rating]:[Rating]],Exp_Shift[[Number]:[Number]],0,0),_xlpm.Init,_xlfn.XLOOKUP(N71,Exp_Shift[[Rating]:[Rating]],Exp_Shift[[Number]:[Number]],0,0),_xlpm.X,_xlfn.XLOOKUP(U71,Exp_Shift[[Rating]:[Rating]],Exp_Shift[[Number]:[Number]],0,0), IF(_xlpm.Fin-_xlpm.Init&gt;0, _xlfn.XLOOKUP(MIN(4,_xlpm.X+_xlpm.Fin-_xlpm.Init),Exp_Shift[[Number]:[Number]],Exp_Shift[[Rating]:[Rating]],0,0),IF(_xlpm.Fin-_xlpm.Init&lt;0,_xlfn.XLOOKUP(MAX(0,_xlpm.X-1),Exp_Shift[[Number]:[Number]],Exp_Shift[[Rating]:[Rating]],0,0),U71)))</f>
        <v>H</v>
      </c>
      <c r="V140" t="str" cm="1">
        <f t="array" ref="V140">_xlfn.LET(_xlpm.Fin,_xlfn.XLOOKUP(O140,Exp_Shift[[Rating]:[Rating]],Exp_Shift[[Number]:[Number]],0,0),_xlpm.Init,_xlfn.XLOOKUP(O71,Exp_Shift[[Rating]:[Rating]],Exp_Shift[[Number]:[Number]],0,0),_xlpm.X,_xlfn.XLOOKUP(V71,Exp_Shift[[Rating]:[Rating]],Exp_Shift[[Number]:[Number]],0,0), IF(_xlpm.Fin-_xlpm.Init&gt;0, _xlfn.XLOOKUP(MIN(4,_xlpm.X+_xlpm.Fin-_xlpm.Init),Exp_Shift[[Number]:[Number]],Exp_Shift[[Rating]:[Rating]],0,0),IF(_xlpm.Fin-_xlpm.Init&lt;0,_xlfn.XLOOKUP(MAX(0,_xlpm.X-1),Exp_Shift[[Number]:[Number]],Exp_Shift[[Rating]:[Rating]],0,0),V71)))</f>
        <v>H</v>
      </c>
      <c r="W140" t="str" cm="1">
        <f t="array" ref="W140">_xlfn.LET(_xlpm.Fin,_xlfn.XLOOKUP(P140,Exp_Shift[[Rating]:[Rating]],Exp_Shift[[Number]:[Number]],0,0),_xlpm.Init,_xlfn.XLOOKUP(P71,Exp_Shift[[Rating]:[Rating]],Exp_Shift[[Number]:[Number]],0,0),_xlpm.X,_xlfn.XLOOKUP(W71,Exp_Shift[[Rating]:[Rating]],Exp_Shift[[Number]:[Number]],0,0), IF(_xlpm.Fin-_xlpm.Init&gt;0, _xlfn.XLOOKUP(MIN(4,_xlpm.X+_xlpm.Fin-_xlpm.Init),Exp_Shift[[Number]:[Number]],Exp_Shift[[Rating]:[Rating]],0,0),IF(_xlpm.Fin-_xlpm.Init&lt;0,_xlfn.XLOOKUP(MAX(0,_xlpm.X-1),Exp_Shift[[Number]:[Number]],Exp_Shift[[Rating]:[Rating]],0,0),W71)))</f>
        <v>H</v>
      </c>
      <c r="X140" s="19" t="str" cm="1">
        <f t="array" ref="X140">_xlfn.LET(_xlpm.Fin,_xlfn.XLOOKUP(Q140,Exp_Shift[[Rating]:[Rating]],Exp_Shift[[Number]:[Number]],0,0),_xlpm.Init,_xlfn.XLOOKUP(Q71,Exp_Shift[[Rating]:[Rating]],Exp_Shift[[Number]:[Number]],0,0),_xlpm.X,_xlfn.XLOOKUP(X71,Exp_Shift[[Rating]:[Rating]],Exp_Shift[[Number]:[Number]],0,0), IF(_xlpm.Fin-_xlpm.Init&gt;0, _xlfn.XLOOKUP(MIN(4,_xlpm.X+_xlpm.Fin-_xlpm.Init),Exp_Shift[[Number]:[Number]],Exp_Shift[[Rating]:[Rating]],0,0),IF(_xlpm.Fin-_xlpm.Init&lt;0,_xlfn.XLOOKUP(MAX(0,_xlpm.X-1),Exp_Shift[[Number]:[Number]],Exp_Shift[[Rating]:[Rating]],0,0),X71)))</f>
        <v>M</v>
      </c>
      <c r="Y140" s="23" t="str" cm="1">
        <f t="array" ref="Y140">_xlfn.LET(_xlpm.Fin,_xlfn.XLOOKUP(K140,Exp_Shift[[Rating]:[Rating]],Exp_Shift[[Number]:[Number]],0,0),_xlpm.Init,_xlfn.XLOOKUP(K71,Exp_Shift[[Rating]:[Rating]],Exp_Shift[[Number]:[Number]],0,0),_xlpm.X,_xlfn.XLOOKUP(Y71,Exp_Shift[[Rating]:[Rating]],Exp_Shift[[Number]:[Number]],0,0), IF(_xlpm.Fin-_xlpm.Init&gt;0, _xlfn.XLOOKUP(MIN(4,_xlpm.X+1),Exp_Shift[[Number]:[Number]],Exp_Shift[[Rating]:[Rating]],0,0),IF(_xlpm.Fin-_xlpm.Init&lt;0,_xlfn.XLOOKUP(MAX(0,_xlpm.X),Exp_Shift[[Number]:[Number]],Exp_Shift[[Rating]:[Rating]],0,0),Y71)))</f>
        <v>E</v>
      </c>
      <c r="Z140" t="str" cm="1">
        <f t="array" ref="Z140">_xlfn.LET(_xlpm.Fin,_xlfn.XLOOKUP(L140,Exp_Shift[[Rating]:[Rating]],Exp_Shift[[Number]:[Number]],0,0),_xlpm.Init,_xlfn.XLOOKUP(L71,Exp_Shift[[Rating]:[Rating]],Exp_Shift[[Number]:[Number]],0,0),_xlpm.X,_xlfn.XLOOKUP(Z71,Exp_Shift[[Rating]:[Rating]],Exp_Shift[[Number]:[Number]],0,0), IF(_xlpm.Fin-_xlpm.Init&gt;0, _xlfn.XLOOKUP(MIN(4,_xlpm.X+1),Exp_Shift[[Number]:[Number]],Exp_Shift[[Rating]:[Rating]],0,0),IF(_xlpm.Fin-_xlpm.Init&lt;0,_xlfn.XLOOKUP(MAX(0,_xlpm.X),Exp_Shift[[Number]:[Number]],Exp_Shift[[Rating]:[Rating]],0,0),Z71)))</f>
        <v>E</v>
      </c>
      <c r="AA140" t="str" cm="1">
        <f t="array" ref="AA140">_xlfn.LET(_xlpm.Fin,_xlfn.XLOOKUP(M140,Exp_Shift[[Rating]:[Rating]],Exp_Shift[[Number]:[Number]],0,0),_xlpm.Init,_xlfn.XLOOKUP(M71,Exp_Shift[[Rating]:[Rating]],Exp_Shift[[Number]:[Number]],0,0),_xlpm.X,_xlfn.XLOOKUP(AA71,Exp_Shift[[Rating]:[Rating]],Exp_Shift[[Number]:[Number]],0,0), IF(_xlpm.Fin-_xlpm.Init&gt;0, _xlfn.XLOOKUP(MIN(4,_xlpm.X+1),Exp_Shift[[Number]:[Number]],Exp_Shift[[Rating]:[Rating]],0,0),IF(_xlpm.Fin-_xlpm.Init&lt;0,_xlfn.XLOOKUP(MAX(0,_xlpm.X),Exp_Shift[[Number]:[Number]],Exp_Shift[[Rating]:[Rating]],0,0),AA71)))</f>
        <v>E</v>
      </c>
      <c r="AB140" t="str" cm="1">
        <f t="array" ref="AB140">_xlfn.LET(_xlpm.Fin,_xlfn.XLOOKUP(N140,Exp_Shift[[Rating]:[Rating]],Exp_Shift[[Number]:[Number]],0,0),_xlpm.Init,_xlfn.XLOOKUP(N71,Exp_Shift[[Rating]:[Rating]],Exp_Shift[[Number]:[Number]],0,0),_xlpm.X,_xlfn.XLOOKUP(AB71,Exp_Shift[[Rating]:[Rating]],Exp_Shift[[Number]:[Number]],0,0), IF(_xlpm.Fin-_xlpm.Init&gt;0, _xlfn.XLOOKUP(MIN(4,_xlpm.X+1),Exp_Shift[[Number]:[Number]],Exp_Shift[[Rating]:[Rating]],0,0),IF(_xlpm.Fin-_xlpm.Init&lt;0,_xlfn.XLOOKUP(MAX(0,_xlpm.X),Exp_Shift[[Number]:[Number]],Exp_Shift[[Rating]:[Rating]],0,0),AB71)))</f>
        <v>L</v>
      </c>
      <c r="AC140" t="str" cm="1">
        <f t="array" ref="AC140">_xlfn.LET(_xlpm.Fin,_xlfn.XLOOKUP(O140,Exp_Shift[[Rating]:[Rating]],Exp_Shift[[Number]:[Number]],0,0),_xlpm.Init,_xlfn.XLOOKUP(O71,Exp_Shift[[Rating]:[Rating]],Exp_Shift[[Number]:[Number]],0,0),_xlpm.X,_xlfn.XLOOKUP(AC71,Exp_Shift[[Rating]:[Rating]],Exp_Shift[[Number]:[Number]],0,0), IF(_xlpm.Fin-_xlpm.Init&gt;0, _xlfn.XLOOKUP(MIN(4,_xlpm.X+1),Exp_Shift[[Number]:[Number]],Exp_Shift[[Rating]:[Rating]],0,0),IF(_xlpm.Fin-_xlpm.Init&lt;0,_xlfn.XLOOKUP(MAX(0,_xlpm.X),Exp_Shift[[Number]:[Number]],Exp_Shift[[Rating]:[Rating]],0,0),AC71)))</f>
        <v>L</v>
      </c>
      <c r="AD140" t="str" cm="1">
        <f t="array" ref="AD140">_xlfn.LET(_xlpm.Fin,_xlfn.XLOOKUP(P140,Exp_Shift[[Rating]:[Rating]],Exp_Shift[[Number]:[Number]],0,0),_xlpm.Init,_xlfn.XLOOKUP(P71,Exp_Shift[[Rating]:[Rating]],Exp_Shift[[Number]:[Number]],0,0),_xlpm.X,_xlfn.XLOOKUP(AD71,Exp_Shift[[Rating]:[Rating]],Exp_Shift[[Number]:[Number]],0,0), IF(_xlpm.Fin-_xlpm.Init&gt;0, _xlfn.XLOOKUP(MIN(4,_xlpm.X+1),Exp_Shift[[Number]:[Number]],Exp_Shift[[Rating]:[Rating]],0,0),IF(_xlpm.Fin-_xlpm.Init&lt;0,_xlfn.XLOOKUP(MAX(0,_xlpm.X),Exp_Shift[[Number]:[Number]],Exp_Shift[[Rating]:[Rating]],0,0),AD71)))</f>
        <v>L</v>
      </c>
      <c r="AE140" s="27" t="str" cm="1">
        <f t="array" ref="AE140">_xlfn.LET(_xlpm.Fin,_xlfn.XLOOKUP(Q140,Exp_Shift[[Rating]:[Rating]],Exp_Shift[[Number]:[Number]],0,0),_xlpm.Init,_xlfn.XLOOKUP(Q71,Exp_Shift[[Rating]:[Rating]],Exp_Shift[[Number]:[Number]],0,0),_xlpm.X,_xlfn.XLOOKUP(AE71,Exp_Shift[[Rating]:[Rating]],Exp_Shift[[Number]:[Number]],0,0), IF(_xlpm.Fin-_xlpm.Init&gt;0, _xlfn.XLOOKUP(MIN(4,_xlpm.X+1),Exp_Shift[[Number]:[Number]],Exp_Shift[[Rating]:[Rating]],0,0),IF(_xlpm.Fin-_xlpm.Init&lt;0,_xlfn.XLOOKUP(MAX(0,_xlpm.X),Exp_Shift[[Number]:[Number]],Exp_Shift[[Rating]:[Rating]],0,0),AE71)))</f>
        <v>H</v>
      </c>
    </row>
    <row r="141" spans="8:31" ht="18" x14ac:dyDescent="0.35">
      <c r="H141" s="26">
        <v>84</v>
      </c>
      <c r="I141" s="331" t="s">
        <v>46</v>
      </c>
      <c r="J141" s="326" t="s">
        <v>227</v>
      </c>
      <c r="K141" s="21" t="str" cm="1">
        <f t="array" ref="K141">_xlfn.SWITCH(K118,"N/A","L","L","M","M","H","H","E","E","N/A")</f>
        <v>E</v>
      </c>
      <c r="L141" s="50" t="str" cm="1">
        <f t="array" ref="L141">_xlfn.SWITCH(L118,"N/A","L","L","M","M","H","H","E","E","N/A")</f>
        <v>L</v>
      </c>
      <c r="M141" s="50" t="str" cm="1">
        <f t="array" ref="M141">_xlfn.SWITCH(M118,"N/A","L","L","M","M","H","H","E","E","N/A")</f>
        <v>L</v>
      </c>
      <c r="N141" s="50" t="str" cm="1">
        <f t="array" ref="N141">_xlfn.SWITCH(N118,"N/A","L","L","M","M","H","H","E","E","N/A")</f>
        <v>N/A</v>
      </c>
      <c r="O141" s="50" t="str" cm="1">
        <f t="array" ref="O141">_xlfn.SWITCH(O118,"N/A","L","L","M","M","H","H","E","E","N/A")</f>
        <v>H</v>
      </c>
      <c r="P141" s="50" t="str" cm="1">
        <f t="array" ref="P141">_xlfn.SWITCH(P118,"N/A","L","L","M","M","H","H","E","E","N/A")</f>
        <v>H</v>
      </c>
      <c r="Q141" s="95" t="str" cm="1">
        <f t="array" ref="Q141">_xlfn.SWITCH(Q118,"N/A","L","L","M","M","H","H","E","E","N/A")</f>
        <v>N/A</v>
      </c>
      <c r="R141" s="21" t="str" cm="1">
        <f t="array" ref="R141">_xlfn.LET(_xlpm.Fin,_xlfn.XLOOKUP(K141,Exp_Shift[[Rating]:[Rating]],Exp_Shift[[Number]:[Number]],0,0),_xlpm.Init,_xlfn.XLOOKUP(K72,Exp_Shift[[Rating]:[Rating]],Exp_Shift[[Number]:[Number]],0,0),_xlpm.X,_xlfn.XLOOKUP(R72,Exp_Shift[[Rating]:[Rating]],Exp_Shift[[Number]:[Number]],0,0), IF(_xlpm.Fin-_xlpm.Init&gt;0, _xlfn.XLOOKUP(MIN(4,_xlpm.X+_xlpm.Fin-_xlpm.Init),Exp_Shift[[Number]:[Number]],Exp_Shift[[Rating]:[Rating]],0,0),IF(_xlpm.Fin-_xlpm.Init&lt;0,_xlfn.XLOOKUP(MAX(0,_xlpm.X-1),Exp_Shift[[Number]:[Number]],Exp_Shift[[Rating]:[Rating]],0,0),R72)))</f>
        <v>E</v>
      </c>
      <c r="S141" s="50" t="str" cm="1">
        <f t="array" ref="S141">_xlfn.LET(_xlpm.Fin,_xlfn.XLOOKUP(L141,Exp_Shift[[Rating]:[Rating]],Exp_Shift[[Number]:[Number]],0,0),_xlpm.Init,_xlfn.XLOOKUP(L72,Exp_Shift[[Rating]:[Rating]],Exp_Shift[[Number]:[Number]],0,0),_xlpm.X,_xlfn.XLOOKUP(S72,Exp_Shift[[Rating]:[Rating]],Exp_Shift[[Number]:[Number]],0,0), IF(_xlpm.Fin-_xlpm.Init&gt;0, _xlfn.XLOOKUP(MIN(4,_xlpm.X+_xlpm.Fin-_xlpm.Init),Exp_Shift[[Number]:[Number]],Exp_Shift[[Rating]:[Rating]],0,0),IF(_xlpm.Fin-_xlpm.Init&lt;0,_xlfn.XLOOKUP(MAX(0,_xlpm.X-1),Exp_Shift[[Number]:[Number]],Exp_Shift[[Rating]:[Rating]],0,0),S72)))</f>
        <v>M</v>
      </c>
      <c r="T141" s="50" t="str" cm="1">
        <f t="array" ref="T141">_xlfn.LET(_xlpm.Fin,_xlfn.XLOOKUP(M141,Exp_Shift[[Rating]:[Rating]],Exp_Shift[[Number]:[Number]],0,0),_xlpm.Init,_xlfn.XLOOKUP(M72,Exp_Shift[[Rating]:[Rating]],Exp_Shift[[Number]:[Number]],0,0),_xlpm.X,_xlfn.XLOOKUP(T72,Exp_Shift[[Rating]:[Rating]],Exp_Shift[[Number]:[Number]],0,0), IF(_xlpm.Fin-_xlpm.Init&gt;0, _xlfn.XLOOKUP(MIN(4,_xlpm.X+_xlpm.Fin-_xlpm.Init),Exp_Shift[[Number]:[Number]],Exp_Shift[[Rating]:[Rating]],0,0),IF(_xlpm.Fin-_xlpm.Init&lt;0,_xlfn.XLOOKUP(MAX(0,_xlpm.X-1),Exp_Shift[[Number]:[Number]],Exp_Shift[[Rating]:[Rating]],0,0),T72)))</f>
        <v>H</v>
      </c>
      <c r="U141" s="50" t="str" cm="1">
        <f t="array" ref="U141">_xlfn.LET(_xlpm.Fin,_xlfn.XLOOKUP(N141,Exp_Shift[[Rating]:[Rating]],Exp_Shift[[Number]:[Number]],0,0),_xlpm.Init,_xlfn.XLOOKUP(N72,Exp_Shift[[Rating]:[Rating]],Exp_Shift[[Number]:[Number]],0,0),_xlpm.X,_xlfn.XLOOKUP(U72,Exp_Shift[[Rating]:[Rating]],Exp_Shift[[Number]:[Number]],0,0), IF(_xlpm.Fin-_xlpm.Init&gt;0, _xlfn.XLOOKUP(MIN(4,_xlpm.X+_xlpm.Fin-_xlpm.Init),Exp_Shift[[Number]:[Number]],Exp_Shift[[Rating]:[Rating]],0,0),IF(_xlpm.Fin-_xlpm.Init&lt;0,_xlfn.XLOOKUP(MAX(0,_xlpm.X-1),Exp_Shift[[Number]:[Number]],Exp_Shift[[Rating]:[Rating]],0,0),U72)))</f>
        <v>M</v>
      </c>
      <c r="V141" s="50" t="str" cm="1">
        <f t="array" ref="V141">_xlfn.LET(_xlpm.Fin,_xlfn.XLOOKUP(O141,Exp_Shift[[Rating]:[Rating]],Exp_Shift[[Number]:[Number]],0,0),_xlpm.Init,_xlfn.XLOOKUP(O72,Exp_Shift[[Rating]:[Rating]],Exp_Shift[[Number]:[Number]],0,0),_xlpm.X,_xlfn.XLOOKUP(V72,Exp_Shift[[Rating]:[Rating]],Exp_Shift[[Number]:[Number]],0,0), IF(_xlpm.Fin-_xlpm.Init&gt;0, _xlfn.XLOOKUP(MIN(4,_xlpm.X+_xlpm.Fin-_xlpm.Init),Exp_Shift[[Number]:[Number]],Exp_Shift[[Rating]:[Rating]],0,0),IF(_xlpm.Fin-_xlpm.Init&lt;0,_xlfn.XLOOKUP(MAX(0,_xlpm.X-1),Exp_Shift[[Number]:[Number]],Exp_Shift[[Rating]:[Rating]],0,0),V72)))</f>
        <v>H</v>
      </c>
      <c r="W141" s="50" t="str" cm="1">
        <f t="array" ref="W141">_xlfn.LET(_xlpm.Fin,_xlfn.XLOOKUP(P141,Exp_Shift[[Rating]:[Rating]],Exp_Shift[[Number]:[Number]],0,0),_xlpm.Init,_xlfn.XLOOKUP(P72,Exp_Shift[[Rating]:[Rating]],Exp_Shift[[Number]:[Number]],0,0),_xlpm.X,_xlfn.XLOOKUP(W72,Exp_Shift[[Rating]:[Rating]],Exp_Shift[[Number]:[Number]],0,0), IF(_xlpm.Fin-_xlpm.Init&gt;0, _xlfn.XLOOKUP(MIN(4,_xlpm.X+_xlpm.Fin-_xlpm.Init),Exp_Shift[[Number]:[Number]],Exp_Shift[[Rating]:[Rating]],0,0),IF(_xlpm.Fin-_xlpm.Init&lt;0,_xlfn.XLOOKUP(MAX(0,_xlpm.X-1),Exp_Shift[[Number]:[Number]],Exp_Shift[[Rating]:[Rating]],0,0),W72)))</f>
        <v>H</v>
      </c>
      <c r="X141" s="95" t="str" cm="1">
        <f t="array" ref="X141">_xlfn.LET(_xlpm.Fin,_xlfn.XLOOKUP(Q141,Exp_Shift[[Rating]:[Rating]],Exp_Shift[[Number]:[Number]],0,0),_xlpm.Init,_xlfn.XLOOKUP(Q72,Exp_Shift[[Rating]:[Rating]],Exp_Shift[[Number]:[Number]],0,0),_xlpm.X,_xlfn.XLOOKUP(X72,Exp_Shift[[Rating]:[Rating]],Exp_Shift[[Number]:[Number]],0,0), IF(_xlpm.Fin-_xlpm.Init&gt;0, _xlfn.XLOOKUP(MIN(4,_xlpm.X+_xlpm.Fin-_xlpm.Init),Exp_Shift[[Number]:[Number]],Exp_Shift[[Rating]:[Rating]],0,0),IF(_xlpm.Fin-_xlpm.Init&lt;0,_xlfn.XLOOKUP(MAX(0,_xlpm.X-1),Exp_Shift[[Number]:[Number]],Exp_Shift[[Rating]:[Rating]],0,0),X72)))</f>
        <v>M</v>
      </c>
      <c r="Y141" s="21" t="str" cm="1">
        <f t="array" ref="Y141">_xlfn.LET(_xlpm.Fin,_xlfn.XLOOKUP(K141,Exp_Shift[[Rating]:[Rating]],Exp_Shift[[Number]:[Number]],0,0),_xlpm.Init,_xlfn.XLOOKUP(K72,Exp_Shift[[Rating]:[Rating]],Exp_Shift[[Number]:[Number]],0,0),_xlpm.X,_xlfn.XLOOKUP(Y72,Exp_Shift[[Rating]:[Rating]],Exp_Shift[[Number]:[Number]],0,0), IF(_xlpm.Fin-_xlpm.Init&gt;0, _xlfn.XLOOKUP(MIN(4,_xlpm.X+1),Exp_Shift[[Number]:[Number]],Exp_Shift[[Rating]:[Rating]],0,0),IF(_xlpm.Fin-_xlpm.Init&lt;0,_xlfn.XLOOKUP(MAX(0,_xlpm.X),Exp_Shift[[Number]:[Number]],Exp_Shift[[Rating]:[Rating]],0,0),Y72)))</f>
        <v>H</v>
      </c>
      <c r="Z141" s="50" t="str" cm="1">
        <f t="array" ref="Z141">_xlfn.LET(_xlpm.Fin,_xlfn.XLOOKUP(L141,Exp_Shift[[Rating]:[Rating]],Exp_Shift[[Number]:[Number]],0,0),_xlpm.Init,_xlfn.XLOOKUP(L72,Exp_Shift[[Rating]:[Rating]],Exp_Shift[[Number]:[Number]],0,0),_xlpm.X,_xlfn.XLOOKUP(Z72,Exp_Shift[[Rating]:[Rating]],Exp_Shift[[Number]:[Number]],0,0), IF(_xlpm.Fin-_xlpm.Init&gt;0, _xlfn.XLOOKUP(MIN(4,_xlpm.X+1),Exp_Shift[[Number]:[Number]],Exp_Shift[[Rating]:[Rating]],0,0),IF(_xlpm.Fin-_xlpm.Init&lt;0,_xlfn.XLOOKUP(MAX(0,_xlpm.X),Exp_Shift[[Number]:[Number]],Exp_Shift[[Rating]:[Rating]],0,0),Z72)))</f>
        <v>H</v>
      </c>
      <c r="AA141" s="50" t="str" cm="1">
        <f t="array" ref="AA141">_xlfn.LET(_xlpm.Fin,_xlfn.XLOOKUP(M141,Exp_Shift[[Rating]:[Rating]],Exp_Shift[[Number]:[Number]],0,0),_xlpm.Init,_xlfn.XLOOKUP(M72,Exp_Shift[[Rating]:[Rating]],Exp_Shift[[Number]:[Number]],0,0),_xlpm.X,_xlfn.XLOOKUP(AA72,Exp_Shift[[Rating]:[Rating]],Exp_Shift[[Number]:[Number]],0,0), IF(_xlpm.Fin-_xlpm.Init&gt;0, _xlfn.XLOOKUP(MIN(4,_xlpm.X+1),Exp_Shift[[Number]:[Number]],Exp_Shift[[Rating]:[Rating]],0,0),IF(_xlpm.Fin-_xlpm.Init&lt;0,_xlfn.XLOOKUP(MAX(0,_xlpm.X),Exp_Shift[[Number]:[Number]],Exp_Shift[[Rating]:[Rating]],0,0),AA72)))</f>
        <v>E</v>
      </c>
      <c r="AB141" s="50" t="str" cm="1">
        <f t="array" ref="AB141">_xlfn.LET(_xlpm.Fin,_xlfn.XLOOKUP(N141,Exp_Shift[[Rating]:[Rating]],Exp_Shift[[Number]:[Number]],0,0),_xlpm.Init,_xlfn.XLOOKUP(N72,Exp_Shift[[Rating]:[Rating]],Exp_Shift[[Number]:[Number]],0,0),_xlpm.X,_xlfn.XLOOKUP(AB72,Exp_Shift[[Rating]:[Rating]],Exp_Shift[[Number]:[Number]],0,0), IF(_xlpm.Fin-_xlpm.Init&gt;0, _xlfn.XLOOKUP(MIN(4,_xlpm.X+1),Exp_Shift[[Number]:[Number]],Exp_Shift[[Rating]:[Rating]],0,0),IF(_xlpm.Fin-_xlpm.Init&lt;0,_xlfn.XLOOKUP(MAX(0,_xlpm.X),Exp_Shift[[Number]:[Number]],Exp_Shift[[Rating]:[Rating]],0,0),AB72)))</f>
        <v>E</v>
      </c>
      <c r="AC141" s="50" t="str" cm="1">
        <f t="array" ref="AC141">_xlfn.LET(_xlpm.Fin,_xlfn.XLOOKUP(O141,Exp_Shift[[Rating]:[Rating]],Exp_Shift[[Number]:[Number]],0,0),_xlpm.Init,_xlfn.XLOOKUP(O72,Exp_Shift[[Rating]:[Rating]],Exp_Shift[[Number]:[Number]],0,0),_xlpm.X,_xlfn.XLOOKUP(AC72,Exp_Shift[[Rating]:[Rating]],Exp_Shift[[Number]:[Number]],0,0), IF(_xlpm.Fin-_xlpm.Init&gt;0, _xlfn.XLOOKUP(MIN(4,_xlpm.X+1),Exp_Shift[[Number]:[Number]],Exp_Shift[[Rating]:[Rating]],0,0),IF(_xlpm.Fin-_xlpm.Init&lt;0,_xlfn.XLOOKUP(MAX(0,_xlpm.X),Exp_Shift[[Number]:[Number]],Exp_Shift[[Rating]:[Rating]],0,0),AC72)))</f>
        <v>L</v>
      </c>
      <c r="AD141" s="50" t="str" cm="1">
        <f t="array" ref="AD141">_xlfn.LET(_xlpm.Fin,_xlfn.XLOOKUP(P141,Exp_Shift[[Rating]:[Rating]],Exp_Shift[[Number]:[Number]],0,0),_xlpm.Init,_xlfn.XLOOKUP(P72,Exp_Shift[[Rating]:[Rating]],Exp_Shift[[Number]:[Number]],0,0),_xlpm.X,_xlfn.XLOOKUP(AD72,Exp_Shift[[Rating]:[Rating]],Exp_Shift[[Number]:[Number]],0,0), IF(_xlpm.Fin-_xlpm.Init&gt;0, _xlfn.XLOOKUP(MIN(4,_xlpm.X+1),Exp_Shift[[Number]:[Number]],Exp_Shift[[Rating]:[Rating]],0,0),IF(_xlpm.Fin-_xlpm.Init&lt;0,_xlfn.XLOOKUP(MAX(0,_xlpm.X),Exp_Shift[[Number]:[Number]],Exp_Shift[[Rating]:[Rating]],0,0),AD72)))</f>
        <v>L</v>
      </c>
      <c r="AE141" s="342" t="str" cm="1">
        <f t="array" ref="AE141">_xlfn.LET(_xlpm.Fin,_xlfn.XLOOKUP(Q141,Exp_Shift[[Rating]:[Rating]],Exp_Shift[[Number]:[Number]],0,0),_xlpm.Init,_xlfn.XLOOKUP(Q72,Exp_Shift[[Rating]:[Rating]],Exp_Shift[[Number]:[Number]],0,0),_xlpm.X,_xlfn.XLOOKUP(AE72,Exp_Shift[[Rating]:[Rating]],Exp_Shift[[Number]:[Number]],0,0), IF(_xlpm.Fin-_xlpm.Init&gt;0, _xlfn.XLOOKUP(MIN(4,_xlpm.X+1),Exp_Shift[[Number]:[Number]],Exp_Shift[[Rating]:[Rating]],0,0),IF(_xlpm.Fin-_xlpm.Init&lt;0,_xlfn.XLOOKUP(MAX(0,_xlpm.X),Exp_Shift[[Number]:[Number]],Exp_Shift[[Rating]:[Rating]],0,0),AE72)))</f>
        <v>E</v>
      </c>
    </row>
    <row r="142" spans="8:31" ht="18" x14ac:dyDescent="0.35">
      <c r="H142" s="26">
        <v>85</v>
      </c>
      <c r="I142" s="332" t="s">
        <v>46</v>
      </c>
      <c r="J142" s="328" t="s">
        <v>226</v>
      </c>
      <c r="K142" s="23" t="str" cm="1">
        <f t="array" ref="K142">_xlfn.SWITCH(K119,"N/A","L","L","M","M","H","H","E","E","N/A")</f>
        <v>E</v>
      </c>
      <c r="L142" t="str" cm="1">
        <f t="array" ref="L142">_xlfn.SWITCH(L119,"N/A","L","L","M","M","H","H","E","E","N/A")</f>
        <v>L</v>
      </c>
      <c r="M142" t="str" cm="1">
        <f t="array" ref="M142">_xlfn.SWITCH(M119,"N/A","L","L","M","M","H","H","E","E","N/A")</f>
        <v>L</v>
      </c>
      <c r="N142" t="str" cm="1">
        <f t="array" ref="N142">_xlfn.SWITCH(N119,"N/A","L","L","M","M","H","H","E","E","N/A")</f>
        <v>E</v>
      </c>
      <c r="O142" t="str" cm="1">
        <f t="array" ref="O142">_xlfn.SWITCH(O119,"N/A","L","L","M","M","H","H","E","E","N/A")</f>
        <v>N/A</v>
      </c>
      <c r="P142" t="str" cm="1">
        <f t="array" ref="P142">_xlfn.SWITCH(P119,"N/A","L","L","M","M","H","H","E","E","N/A")</f>
        <v>N/A</v>
      </c>
      <c r="Q142" s="19" t="str" cm="1">
        <f t="array" ref="Q142">_xlfn.SWITCH(Q119,"N/A","L","L","M","M","H","H","E","E","N/A")</f>
        <v>N/A</v>
      </c>
      <c r="R142" s="23" t="str" cm="1">
        <f t="array" ref="R142">_xlfn.LET(_xlpm.Fin,_xlfn.XLOOKUP(K142,Exp_Shift[[Rating]:[Rating]],Exp_Shift[[Number]:[Number]],0,0),_xlpm.Init,_xlfn.XLOOKUP(K73,Exp_Shift[[Rating]:[Rating]],Exp_Shift[[Number]:[Number]],0,0),_xlpm.X,_xlfn.XLOOKUP(R73,Exp_Shift[[Rating]:[Rating]],Exp_Shift[[Number]:[Number]],0,0), IF(_xlpm.Fin-_xlpm.Init&gt;0, _xlfn.XLOOKUP(MIN(4,_xlpm.X+_xlpm.Fin-_xlpm.Init),Exp_Shift[[Number]:[Number]],Exp_Shift[[Rating]:[Rating]],0,0),IF(_xlpm.Fin-_xlpm.Init&lt;0,_xlfn.XLOOKUP(MAX(0,_xlpm.X-1),Exp_Shift[[Number]:[Number]],Exp_Shift[[Rating]:[Rating]],0,0),R73)))</f>
        <v>E</v>
      </c>
      <c r="S142" t="str" cm="1">
        <f t="array" ref="S142">_xlfn.LET(_xlpm.Fin,_xlfn.XLOOKUP(L142,Exp_Shift[[Rating]:[Rating]],Exp_Shift[[Number]:[Number]],0,0),_xlpm.Init,_xlfn.XLOOKUP(L73,Exp_Shift[[Rating]:[Rating]],Exp_Shift[[Number]:[Number]],0,0),_xlpm.X,_xlfn.XLOOKUP(S73,Exp_Shift[[Rating]:[Rating]],Exp_Shift[[Number]:[Number]],0,0), IF(_xlpm.Fin-_xlpm.Init&gt;0, _xlfn.XLOOKUP(MIN(4,_xlpm.X+_xlpm.Fin-_xlpm.Init),Exp_Shift[[Number]:[Number]],Exp_Shift[[Rating]:[Rating]],0,0),IF(_xlpm.Fin-_xlpm.Init&lt;0,_xlfn.XLOOKUP(MAX(0,_xlpm.X-1),Exp_Shift[[Number]:[Number]],Exp_Shift[[Rating]:[Rating]],0,0),S73)))</f>
        <v>M</v>
      </c>
      <c r="T142" t="str" cm="1">
        <f t="array" ref="T142">_xlfn.LET(_xlpm.Fin,_xlfn.XLOOKUP(M142,Exp_Shift[[Rating]:[Rating]],Exp_Shift[[Number]:[Number]],0,0),_xlpm.Init,_xlfn.XLOOKUP(M73,Exp_Shift[[Rating]:[Rating]],Exp_Shift[[Number]:[Number]],0,0),_xlpm.X,_xlfn.XLOOKUP(T73,Exp_Shift[[Rating]:[Rating]],Exp_Shift[[Number]:[Number]],0,0), IF(_xlpm.Fin-_xlpm.Init&gt;0, _xlfn.XLOOKUP(MIN(4,_xlpm.X+_xlpm.Fin-_xlpm.Init),Exp_Shift[[Number]:[Number]],Exp_Shift[[Rating]:[Rating]],0,0),IF(_xlpm.Fin-_xlpm.Init&lt;0,_xlfn.XLOOKUP(MAX(0,_xlpm.X-1),Exp_Shift[[Number]:[Number]],Exp_Shift[[Rating]:[Rating]],0,0),T73)))</f>
        <v>H</v>
      </c>
      <c r="U142" t="str" cm="1">
        <f t="array" ref="U142">_xlfn.LET(_xlpm.Fin,_xlfn.XLOOKUP(N142,Exp_Shift[[Rating]:[Rating]],Exp_Shift[[Number]:[Number]],0,0),_xlpm.Init,_xlfn.XLOOKUP(N73,Exp_Shift[[Rating]:[Rating]],Exp_Shift[[Number]:[Number]],0,0),_xlpm.X,_xlfn.XLOOKUP(U73,Exp_Shift[[Rating]:[Rating]],Exp_Shift[[Number]:[Number]],0,0), IF(_xlpm.Fin-_xlpm.Init&gt;0, _xlfn.XLOOKUP(MIN(4,_xlpm.X+_xlpm.Fin-_xlpm.Init),Exp_Shift[[Number]:[Number]],Exp_Shift[[Rating]:[Rating]],0,0),IF(_xlpm.Fin-_xlpm.Init&lt;0,_xlfn.XLOOKUP(MAX(0,_xlpm.X-1),Exp_Shift[[Number]:[Number]],Exp_Shift[[Rating]:[Rating]],0,0),U73)))</f>
        <v>E</v>
      </c>
      <c r="V142" t="str" cm="1">
        <f t="array" ref="V142">_xlfn.LET(_xlpm.Fin,_xlfn.XLOOKUP(O142,Exp_Shift[[Rating]:[Rating]],Exp_Shift[[Number]:[Number]],0,0),_xlpm.Init,_xlfn.XLOOKUP(O73,Exp_Shift[[Rating]:[Rating]],Exp_Shift[[Number]:[Number]],0,0),_xlpm.X,_xlfn.XLOOKUP(V73,Exp_Shift[[Rating]:[Rating]],Exp_Shift[[Number]:[Number]],0,0), IF(_xlpm.Fin-_xlpm.Init&gt;0, _xlfn.XLOOKUP(MIN(4,_xlpm.X+_xlpm.Fin-_xlpm.Init),Exp_Shift[[Number]:[Number]],Exp_Shift[[Rating]:[Rating]],0,0),IF(_xlpm.Fin-_xlpm.Init&lt;0,_xlfn.XLOOKUP(MAX(0,_xlpm.X-1),Exp_Shift[[Number]:[Number]],Exp_Shift[[Rating]:[Rating]],0,0),V73)))</f>
        <v>M</v>
      </c>
      <c r="W142" t="str" cm="1">
        <f t="array" ref="W142">_xlfn.LET(_xlpm.Fin,_xlfn.XLOOKUP(P142,Exp_Shift[[Rating]:[Rating]],Exp_Shift[[Number]:[Number]],0,0),_xlpm.Init,_xlfn.XLOOKUP(P73,Exp_Shift[[Rating]:[Rating]],Exp_Shift[[Number]:[Number]],0,0),_xlpm.X,_xlfn.XLOOKUP(W73,Exp_Shift[[Rating]:[Rating]],Exp_Shift[[Number]:[Number]],0,0), IF(_xlpm.Fin-_xlpm.Init&gt;0, _xlfn.XLOOKUP(MIN(4,_xlpm.X+_xlpm.Fin-_xlpm.Init),Exp_Shift[[Number]:[Number]],Exp_Shift[[Rating]:[Rating]],0,0),IF(_xlpm.Fin-_xlpm.Init&lt;0,_xlfn.XLOOKUP(MAX(0,_xlpm.X-1),Exp_Shift[[Number]:[Number]],Exp_Shift[[Rating]:[Rating]],0,0),W73)))</f>
        <v>M</v>
      </c>
      <c r="X142" s="19" t="str" cm="1">
        <f t="array" ref="X142">_xlfn.LET(_xlpm.Fin,_xlfn.XLOOKUP(Q142,Exp_Shift[[Rating]:[Rating]],Exp_Shift[[Number]:[Number]],0,0),_xlpm.Init,_xlfn.XLOOKUP(Q73,Exp_Shift[[Rating]:[Rating]],Exp_Shift[[Number]:[Number]],0,0),_xlpm.X,_xlfn.XLOOKUP(X73,Exp_Shift[[Rating]:[Rating]],Exp_Shift[[Number]:[Number]],0,0), IF(_xlpm.Fin-_xlpm.Init&gt;0, _xlfn.XLOOKUP(MIN(4,_xlpm.X+_xlpm.Fin-_xlpm.Init),Exp_Shift[[Number]:[Number]],Exp_Shift[[Rating]:[Rating]],0,0),IF(_xlpm.Fin-_xlpm.Init&lt;0,_xlfn.XLOOKUP(MAX(0,_xlpm.X-1),Exp_Shift[[Number]:[Number]],Exp_Shift[[Rating]:[Rating]],0,0),X73)))</f>
        <v>M</v>
      </c>
      <c r="Y142" s="23" t="str" cm="1">
        <f t="array" ref="Y142">_xlfn.LET(_xlpm.Fin,_xlfn.XLOOKUP(K142,Exp_Shift[[Rating]:[Rating]],Exp_Shift[[Number]:[Number]],0,0),_xlpm.Init,_xlfn.XLOOKUP(K73,Exp_Shift[[Rating]:[Rating]],Exp_Shift[[Number]:[Number]],0,0),_xlpm.X,_xlfn.XLOOKUP(Y73,Exp_Shift[[Rating]:[Rating]],Exp_Shift[[Number]:[Number]],0,0), IF(_xlpm.Fin-_xlpm.Init&gt;0, _xlfn.XLOOKUP(MIN(4,_xlpm.X+1),Exp_Shift[[Number]:[Number]],Exp_Shift[[Rating]:[Rating]],0,0),IF(_xlpm.Fin-_xlpm.Init&lt;0,_xlfn.XLOOKUP(MAX(0,_xlpm.X),Exp_Shift[[Number]:[Number]],Exp_Shift[[Rating]:[Rating]],0,0),Y73)))</f>
        <v>H</v>
      </c>
      <c r="Z142" t="str" cm="1">
        <f t="array" ref="Z142">_xlfn.LET(_xlpm.Fin,_xlfn.XLOOKUP(L142,Exp_Shift[[Rating]:[Rating]],Exp_Shift[[Number]:[Number]],0,0),_xlpm.Init,_xlfn.XLOOKUP(L73,Exp_Shift[[Rating]:[Rating]],Exp_Shift[[Number]:[Number]],0,0),_xlpm.X,_xlfn.XLOOKUP(Z73,Exp_Shift[[Rating]:[Rating]],Exp_Shift[[Number]:[Number]],0,0), IF(_xlpm.Fin-_xlpm.Init&gt;0, _xlfn.XLOOKUP(MIN(4,_xlpm.X+1),Exp_Shift[[Number]:[Number]],Exp_Shift[[Rating]:[Rating]],0,0),IF(_xlpm.Fin-_xlpm.Init&lt;0,_xlfn.XLOOKUP(MAX(0,_xlpm.X),Exp_Shift[[Number]:[Number]],Exp_Shift[[Rating]:[Rating]],0,0),Z73)))</f>
        <v>H</v>
      </c>
      <c r="AA142" t="str" cm="1">
        <f t="array" ref="AA142">_xlfn.LET(_xlpm.Fin,_xlfn.XLOOKUP(M142,Exp_Shift[[Rating]:[Rating]],Exp_Shift[[Number]:[Number]],0,0),_xlpm.Init,_xlfn.XLOOKUP(M73,Exp_Shift[[Rating]:[Rating]],Exp_Shift[[Number]:[Number]],0,0),_xlpm.X,_xlfn.XLOOKUP(AA73,Exp_Shift[[Rating]:[Rating]],Exp_Shift[[Number]:[Number]],0,0), IF(_xlpm.Fin-_xlpm.Init&gt;0, _xlfn.XLOOKUP(MIN(4,_xlpm.X+1),Exp_Shift[[Number]:[Number]],Exp_Shift[[Rating]:[Rating]],0,0),IF(_xlpm.Fin-_xlpm.Init&lt;0,_xlfn.XLOOKUP(MAX(0,_xlpm.X),Exp_Shift[[Number]:[Number]],Exp_Shift[[Rating]:[Rating]],0,0),AA73)))</f>
        <v>E</v>
      </c>
      <c r="AB142" t="str" cm="1">
        <f t="array" ref="AB142">_xlfn.LET(_xlpm.Fin,_xlfn.XLOOKUP(N142,Exp_Shift[[Rating]:[Rating]],Exp_Shift[[Number]:[Number]],0,0),_xlpm.Init,_xlfn.XLOOKUP(N73,Exp_Shift[[Rating]:[Rating]],Exp_Shift[[Number]:[Number]],0,0),_xlpm.X,_xlfn.XLOOKUP(AB73,Exp_Shift[[Rating]:[Rating]],Exp_Shift[[Number]:[Number]],0,0), IF(_xlpm.Fin-_xlpm.Init&gt;0, _xlfn.XLOOKUP(MIN(4,_xlpm.X+1),Exp_Shift[[Number]:[Number]],Exp_Shift[[Rating]:[Rating]],0,0),IF(_xlpm.Fin-_xlpm.Init&lt;0,_xlfn.XLOOKUP(MAX(0,_xlpm.X),Exp_Shift[[Number]:[Number]],Exp_Shift[[Rating]:[Rating]],0,0),AB73)))</f>
        <v>M</v>
      </c>
      <c r="AC142" t="str" cm="1">
        <f t="array" ref="AC142">_xlfn.LET(_xlpm.Fin,_xlfn.XLOOKUP(O142,Exp_Shift[[Rating]:[Rating]],Exp_Shift[[Number]:[Number]],0,0),_xlpm.Init,_xlfn.XLOOKUP(O73,Exp_Shift[[Rating]:[Rating]],Exp_Shift[[Number]:[Number]],0,0),_xlpm.X,_xlfn.XLOOKUP(AC73,Exp_Shift[[Rating]:[Rating]],Exp_Shift[[Number]:[Number]],0,0), IF(_xlpm.Fin-_xlpm.Init&gt;0, _xlfn.XLOOKUP(MIN(4,_xlpm.X+1),Exp_Shift[[Number]:[Number]],Exp_Shift[[Rating]:[Rating]],0,0),IF(_xlpm.Fin-_xlpm.Init&lt;0,_xlfn.XLOOKUP(MAX(0,_xlpm.X),Exp_Shift[[Number]:[Number]],Exp_Shift[[Rating]:[Rating]],0,0),AC73)))</f>
        <v>E</v>
      </c>
      <c r="AD142" t="str" cm="1">
        <f t="array" ref="AD142">_xlfn.LET(_xlpm.Fin,_xlfn.XLOOKUP(P142,Exp_Shift[[Rating]:[Rating]],Exp_Shift[[Number]:[Number]],0,0),_xlpm.Init,_xlfn.XLOOKUP(P73,Exp_Shift[[Rating]:[Rating]],Exp_Shift[[Number]:[Number]],0,0),_xlpm.X,_xlfn.XLOOKUP(AD73,Exp_Shift[[Rating]:[Rating]],Exp_Shift[[Number]:[Number]],0,0), IF(_xlpm.Fin-_xlpm.Init&gt;0, _xlfn.XLOOKUP(MIN(4,_xlpm.X+1),Exp_Shift[[Number]:[Number]],Exp_Shift[[Rating]:[Rating]],0,0),IF(_xlpm.Fin-_xlpm.Init&lt;0,_xlfn.XLOOKUP(MAX(0,_xlpm.X),Exp_Shift[[Number]:[Number]],Exp_Shift[[Rating]:[Rating]],0,0),AD73)))</f>
        <v>E</v>
      </c>
      <c r="AE142" s="27" t="str" cm="1">
        <f t="array" ref="AE142">_xlfn.LET(_xlpm.Fin,_xlfn.XLOOKUP(Q142,Exp_Shift[[Rating]:[Rating]],Exp_Shift[[Number]:[Number]],0,0),_xlpm.Init,_xlfn.XLOOKUP(Q73,Exp_Shift[[Rating]:[Rating]],Exp_Shift[[Number]:[Number]],0,0),_xlpm.X,_xlfn.XLOOKUP(AE73,Exp_Shift[[Rating]:[Rating]],Exp_Shift[[Number]:[Number]],0,0), IF(_xlpm.Fin-_xlpm.Init&gt;0, _xlfn.XLOOKUP(MIN(4,_xlpm.X+1),Exp_Shift[[Number]:[Number]],Exp_Shift[[Rating]:[Rating]],0,0),IF(_xlpm.Fin-_xlpm.Init&lt;0,_xlfn.XLOOKUP(MAX(0,_xlpm.X),Exp_Shift[[Number]:[Number]],Exp_Shift[[Rating]:[Rating]],0,0),AE73)))</f>
        <v>E</v>
      </c>
    </row>
    <row r="143" spans="8:31" ht="18" x14ac:dyDescent="0.35">
      <c r="H143" s="26">
        <v>86</v>
      </c>
      <c r="I143" s="332" t="s">
        <v>46</v>
      </c>
      <c r="J143" s="328" t="s">
        <v>225</v>
      </c>
      <c r="K143" s="23" t="str" cm="1">
        <f t="array" ref="K143">_xlfn.SWITCH(K120,"N/A","L","L","M","M","H","H","E","E","N/A")</f>
        <v>E</v>
      </c>
      <c r="L143" t="str" cm="1">
        <f t="array" ref="L143">_xlfn.SWITCH(L120,"N/A","L","L","M","M","H","H","E","E","N/A")</f>
        <v>L</v>
      </c>
      <c r="M143" t="str" cm="1">
        <f t="array" ref="M143">_xlfn.SWITCH(M120,"N/A","L","L","M","M","H","H","E","E","N/A")</f>
        <v>L</v>
      </c>
      <c r="N143" t="str" cm="1">
        <f t="array" ref="N143">_xlfn.SWITCH(N120,"N/A","L","L","M","M","H","H","E","E","N/A")</f>
        <v>N/A</v>
      </c>
      <c r="O143" t="str" cm="1">
        <f t="array" ref="O143">_xlfn.SWITCH(O120,"N/A","L","L","M","M","H","H","E","E","N/A")</f>
        <v>H</v>
      </c>
      <c r="P143" t="str" cm="1">
        <f t="array" ref="P143">_xlfn.SWITCH(P120,"N/A","L","L","M","M","H","H","E","E","N/A")</f>
        <v>H</v>
      </c>
      <c r="Q143" s="19" t="str" cm="1">
        <f t="array" ref="Q143">_xlfn.SWITCH(Q120,"N/A","L","L","M","M","H","H","E","E","N/A")</f>
        <v>N/A</v>
      </c>
      <c r="R143" s="23" t="str" cm="1">
        <f t="array" ref="R143">_xlfn.LET(_xlpm.Fin,_xlfn.XLOOKUP(K143,Exp_Shift[[Rating]:[Rating]],Exp_Shift[[Number]:[Number]],0,0),_xlpm.Init,_xlfn.XLOOKUP(K74,Exp_Shift[[Rating]:[Rating]],Exp_Shift[[Number]:[Number]],0,0),_xlpm.X,_xlfn.XLOOKUP(R74,Exp_Shift[[Rating]:[Rating]],Exp_Shift[[Number]:[Number]],0,0), IF(_xlpm.Fin-_xlpm.Init&gt;0, _xlfn.XLOOKUP(MIN(4,_xlpm.X+_xlpm.Fin-_xlpm.Init),Exp_Shift[[Number]:[Number]],Exp_Shift[[Rating]:[Rating]],0,0),IF(_xlpm.Fin-_xlpm.Init&lt;0,_xlfn.XLOOKUP(MAX(0,_xlpm.X-1),Exp_Shift[[Number]:[Number]],Exp_Shift[[Rating]:[Rating]],0,0),R74)))</f>
        <v>E</v>
      </c>
      <c r="S143" t="str" cm="1">
        <f t="array" ref="S143">_xlfn.LET(_xlpm.Fin,_xlfn.XLOOKUP(L143,Exp_Shift[[Rating]:[Rating]],Exp_Shift[[Number]:[Number]],0,0),_xlpm.Init,_xlfn.XLOOKUP(L74,Exp_Shift[[Rating]:[Rating]],Exp_Shift[[Number]:[Number]],0,0),_xlpm.X,_xlfn.XLOOKUP(S74,Exp_Shift[[Rating]:[Rating]],Exp_Shift[[Number]:[Number]],0,0), IF(_xlpm.Fin-_xlpm.Init&gt;0, _xlfn.XLOOKUP(MIN(4,_xlpm.X+_xlpm.Fin-_xlpm.Init),Exp_Shift[[Number]:[Number]],Exp_Shift[[Rating]:[Rating]],0,0),IF(_xlpm.Fin-_xlpm.Init&lt;0,_xlfn.XLOOKUP(MAX(0,_xlpm.X-1),Exp_Shift[[Number]:[Number]],Exp_Shift[[Rating]:[Rating]],0,0),S74)))</f>
        <v>M</v>
      </c>
      <c r="T143" t="str" cm="1">
        <f t="array" ref="T143">_xlfn.LET(_xlpm.Fin,_xlfn.XLOOKUP(M143,Exp_Shift[[Rating]:[Rating]],Exp_Shift[[Number]:[Number]],0,0),_xlpm.Init,_xlfn.XLOOKUP(M74,Exp_Shift[[Rating]:[Rating]],Exp_Shift[[Number]:[Number]],0,0),_xlpm.X,_xlfn.XLOOKUP(T74,Exp_Shift[[Rating]:[Rating]],Exp_Shift[[Number]:[Number]],0,0), IF(_xlpm.Fin-_xlpm.Init&gt;0, _xlfn.XLOOKUP(MIN(4,_xlpm.X+_xlpm.Fin-_xlpm.Init),Exp_Shift[[Number]:[Number]],Exp_Shift[[Rating]:[Rating]],0,0),IF(_xlpm.Fin-_xlpm.Init&lt;0,_xlfn.XLOOKUP(MAX(0,_xlpm.X-1),Exp_Shift[[Number]:[Number]],Exp_Shift[[Rating]:[Rating]],0,0),T74)))</f>
        <v>H</v>
      </c>
      <c r="U143" t="str" cm="1">
        <f t="array" ref="U143">_xlfn.LET(_xlpm.Fin,_xlfn.XLOOKUP(N143,Exp_Shift[[Rating]:[Rating]],Exp_Shift[[Number]:[Number]],0,0),_xlpm.Init,_xlfn.XLOOKUP(N74,Exp_Shift[[Rating]:[Rating]],Exp_Shift[[Number]:[Number]],0,0),_xlpm.X,_xlfn.XLOOKUP(U74,Exp_Shift[[Rating]:[Rating]],Exp_Shift[[Number]:[Number]],0,0), IF(_xlpm.Fin-_xlpm.Init&gt;0, _xlfn.XLOOKUP(MIN(4,_xlpm.X+_xlpm.Fin-_xlpm.Init),Exp_Shift[[Number]:[Number]],Exp_Shift[[Rating]:[Rating]],0,0),IF(_xlpm.Fin-_xlpm.Init&lt;0,_xlfn.XLOOKUP(MAX(0,_xlpm.X-1),Exp_Shift[[Number]:[Number]],Exp_Shift[[Rating]:[Rating]],0,0),U74)))</f>
        <v>M</v>
      </c>
      <c r="V143" t="str" cm="1">
        <f t="array" ref="V143">_xlfn.LET(_xlpm.Fin,_xlfn.XLOOKUP(O143,Exp_Shift[[Rating]:[Rating]],Exp_Shift[[Number]:[Number]],0,0),_xlpm.Init,_xlfn.XLOOKUP(O74,Exp_Shift[[Rating]:[Rating]],Exp_Shift[[Number]:[Number]],0,0),_xlpm.X,_xlfn.XLOOKUP(V74,Exp_Shift[[Rating]:[Rating]],Exp_Shift[[Number]:[Number]],0,0), IF(_xlpm.Fin-_xlpm.Init&gt;0, _xlfn.XLOOKUP(MIN(4,_xlpm.X+_xlpm.Fin-_xlpm.Init),Exp_Shift[[Number]:[Number]],Exp_Shift[[Rating]:[Rating]],0,0),IF(_xlpm.Fin-_xlpm.Init&lt;0,_xlfn.XLOOKUP(MAX(0,_xlpm.X-1),Exp_Shift[[Number]:[Number]],Exp_Shift[[Rating]:[Rating]],0,0),V74)))</f>
        <v>H</v>
      </c>
      <c r="W143" t="str" cm="1">
        <f t="array" ref="W143">_xlfn.LET(_xlpm.Fin,_xlfn.XLOOKUP(P143,Exp_Shift[[Rating]:[Rating]],Exp_Shift[[Number]:[Number]],0,0),_xlpm.Init,_xlfn.XLOOKUP(P74,Exp_Shift[[Rating]:[Rating]],Exp_Shift[[Number]:[Number]],0,0),_xlpm.X,_xlfn.XLOOKUP(W74,Exp_Shift[[Rating]:[Rating]],Exp_Shift[[Number]:[Number]],0,0), IF(_xlpm.Fin-_xlpm.Init&gt;0, _xlfn.XLOOKUP(MIN(4,_xlpm.X+_xlpm.Fin-_xlpm.Init),Exp_Shift[[Number]:[Number]],Exp_Shift[[Rating]:[Rating]],0,0),IF(_xlpm.Fin-_xlpm.Init&lt;0,_xlfn.XLOOKUP(MAX(0,_xlpm.X-1),Exp_Shift[[Number]:[Number]],Exp_Shift[[Rating]:[Rating]],0,0),W74)))</f>
        <v>H</v>
      </c>
      <c r="X143" s="19" t="str" cm="1">
        <f t="array" ref="X143">_xlfn.LET(_xlpm.Fin,_xlfn.XLOOKUP(Q143,Exp_Shift[[Rating]:[Rating]],Exp_Shift[[Number]:[Number]],0,0),_xlpm.Init,_xlfn.XLOOKUP(Q74,Exp_Shift[[Rating]:[Rating]],Exp_Shift[[Number]:[Number]],0,0),_xlpm.X,_xlfn.XLOOKUP(X74,Exp_Shift[[Rating]:[Rating]],Exp_Shift[[Number]:[Number]],0,0), IF(_xlpm.Fin-_xlpm.Init&gt;0, _xlfn.XLOOKUP(MIN(4,_xlpm.X+_xlpm.Fin-_xlpm.Init),Exp_Shift[[Number]:[Number]],Exp_Shift[[Rating]:[Rating]],0,0),IF(_xlpm.Fin-_xlpm.Init&lt;0,_xlfn.XLOOKUP(MAX(0,_xlpm.X-1),Exp_Shift[[Number]:[Number]],Exp_Shift[[Rating]:[Rating]],0,0),X74)))</f>
        <v>M</v>
      </c>
      <c r="Y143" s="23" t="str" cm="1">
        <f t="array" ref="Y143">_xlfn.LET(_xlpm.Fin,_xlfn.XLOOKUP(K143,Exp_Shift[[Rating]:[Rating]],Exp_Shift[[Number]:[Number]],0,0),_xlpm.Init,_xlfn.XLOOKUP(K74,Exp_Shift[[Rating]:[Rating]],Exp_Shift[[Number]:[Number]],0,0),_xlpm.X,_xlfn.XLOOKUP(Y74,Exp_Shift[[Rating]:[Rating]],Exp_Shift[[Number]:[Number]],0,0), IF(_xlpm.Fin-_xlpm.Init&gt;0, _xlfn.XLOOKUP(MIN(4,_xlpm.X+1),Exp_Shift[[Number]:[Number]],Exp_Shift[[Rating]:[Rating]],0,0),IF(_xlpm.Fin-_xlpm.Init&lt;0,_xlfn.XLOOKUP(MAX(0,_xlpm.X),Exp_Shift[[Number]:[Number]],Exp_Shift[[Rating]:[Rating]],0,0),Y74)))</f>
        <v>E</v>
      </c>
      <c r="Z143" t="str" cm="1">
        <f t="array" ref="Z143">_xlfn.LET(_xlpm.Fin,_xlfn.XLOOKUP(L143,Exp_Shift[[Rating]:[Rating]],Exp_Shift[[Number]:[Number]],0,0),_xlpm.Init,_xlfn.XLOOKUP(L74,Exp_Shift[[Rating]:[Rating]],Exp_Shift[[Number]:[Number]],0,0),_xlpm.X,_xlfn.XLOOKUP(Z74,Exp_Shift[[Rating]:[Rating]],Exp_Shift[[Number]:[Number]],0,0), IF(_xlpm.Fin-_xlpm.Init&gt;0, _xlfn.XLOOKUP(MIN(4,_xlpm.X+1),Exp_Shift[[Number]:[Number]],Exp_Shift[[Rating]:[Rating]],0,0),IF(_xlpm.Fin-_xlpm.Init&lt;0,_xlfn.XLOOKUP(MAX(0,_xlpm.X),Exp_Shift[[Number]:[Number]],Exp_Shift[[Rating]:[Rating]],0,0),Z74)))</f>
        <v>H</v>
      </c>
      <c r="AA143" t="str" cm="1">
        <f t="array" ref="AA143">_xlfn.LET(_xlpm.Fin,_xlfn.XLOOKUP(M143,Exp_Shift[[Rating]:[Rating]],Exp_Shift[[Number]:[Number]],0,0),_xlpm.Init,_xlfn.XLOOKUP(M74,Exp_Shift[[Rating]:[Rating]],Exp_Shift[[Number]:[Number]],0,0),_xlpm.X,_xlfn.XLOOKUP(AA74,Exp_Shift[[Rating]:[Rating]],Exp_Shift[[Number]:[Number]],0,0), IF(_xlpm.Fin-_xlpm.Init&gt;0, _xlfn.XLOOKUP(MIN(4,_xlpm.X+1),Exp_Shift[[Number]:[Number]],Exp_Shift[[Rating]:[Rating]],0,0),IF(_xlpm.Fin-_xlpm.Init&lt;0,_xlfn.XLOOKUP(MAX(0,_xlpm.X),Exp_Shift[[Number]:[Number]],Exp_Shift[[Rating]:[Rating]],0,0),AA74)))</f>
        <v>E</v>
      </c>
      <c r="AB143" t="str" cm="1">
        <f t="array" ref="AB143">_xlfn.LET(_xlpm.Fin,_xlfn.XLOOKUP(N143,Exp_Shift[[Rating]:[Rating]],Exp_Shift[[Number]:[Number]],0,0),_xlpm.Init,_xlfn.XLOOKUP(N74,Exp_Shift[[Rating]:[Rating]],Exp_Shift[[Number]:[Number]],0,0),_xlpm.X,_xlfn.XLOOKUP(AB74,Exp_Shift[[Rating]:[Rating]],Exp_Shift[[Number]:[Number]],0,0), IF(_xlpm.Fin-_xlpm.Init&gt;0, _xlfn.XLOOKUP(MIN(4,_xlpm.X+1),Exp_Shift[[Number]:[Number]],Exp_Shift[[Rating]:[Rating]],0,0),IF(_xlpm.Fin-_xlpm.Init&lt;0,_xlfn.XLOOKUP(MAX(0,_xlpm.X),Exp_Shift[[Number]:[Number]],Exp_Shift[[Rating]:[Rating]],0,0),AB74)))</f>
        <v>E</v>
      </c>
      <c r="AC143" t="str" cm="1">
        <f t="array" ref="AC143">_xlfn.LET(_xlpm.Fin,_xlfn.XLOOKUP(O143,Exp_Shift[[Rating]:[Rating]],Exp_Shift[[Number]:[Number]],0,0),_xlpm.Init,_xlfn.XLOOKUP(O74,Exp_Shift[[Rating]:[Rating]],Exp_Shift[[Number]:[Number]],0,0),_xlpm.X,_xlfn.XLOOKUP(AC74,Exp_Shift[[Rating]:[Rating]],Exp_Shift[[Number]:[Number]],0,0), IF(_xlpm.Fin-_xlpm.Init&gt;0, _xlfn.XLOOKUP(MIN(4,_xlpm.X+1),Exp_Shift[[Number]:[Number]],Exp_Shift[[Rating]:[Rating]],0,0),IF(_xlpm.Fin-_xlpm.Init&lt;0,_xlfn.XLOOKUP(MAX(0,_xlpm.X),Exp_Shift[[Number]:[Number]],Exp_Shift[[Rating]:[Rating]],0,0),AC74)))</f>
        <v>L</v>
      </c>
      <c r="AD143" t="str" cm="1">
        <f t="array" ref="AD143">_xlfn.LET(_xlpm.Fin,_xlfn.XLOOKUP(P143,Exp_Shift[[Rating]:[Rating]],Exp_Shift[[Number]:[Number]],0,0),_xlpm.Init,_xlfn.XLOOKUP(P74,Exp_Shift[[Rating]:[Rating]],Exp_Shift[[Number]:[Number]],0,0),_xlpm.X,_xlfn.XLOOKUP(AD74,Exp_Shift[[Rating]:[Rating]],Exp_Shift[[Number]:[Number]],0,0), IF(_xlpm.Fin-_xlpm.Init&gt;0, _xlfn.XLOOKUP(MIN(4,_xlpm.X+1),Exp_Shift[[Number]:[Number]],Exp_Shift[[Rating]:[Rating]],0,0),IF(_xlpm.Fin-_xlpm.Init&lt;0,_xlfn.XLOOKUP(MAX(0,_xlpm.X),Exp_Shift[[Number]:[Number]],Exp_Shift[[Rating]:[Rating]],0,0),AD74)))</f>
        <v>L</v>
      </c>
      <c r="AE143" s="27" t="str" cm="1">
        <f t="array" ref="AE143">_xlfn.LET(_xlpm.Fin,_xlfn.XLOOKUP(Q143,Exp_Shift[[Rating]:[Rating]],Exp_Shift[[Number]:[Number]],0,0),_xlpm.Init,_xlfn.XLOOKUP(Q74,Exp_Shift[[Rating]:[Rating]],Exp_Shift[[Number]:[Number]],0,0),_xlpm.X,_xlfn.XLOOKUP(AE74,Exp_Shift[[Rating]:[Rating]],Exp_Shift[[Number]:[Number]],0,0), IF(_xlpm.Fin-_xlpm.Init&gt;0, _xlfn.XLOOKUP(MIN(4,_xlpm.X+1),Exp_Shift[[Number]:[Number]],Exp_Shift[[Rating]:[Rating]],0,0),IF(_xlpm.Fin-_xlpm.Init&lt;0,_xlfn.XLOOKUP(MAX(0,_xlpm.X),Exp_Shift[[Number]:[Number]],Exp_Shift[[Rating]:[Rating]],0,0),AE74)))</f>
        <v>E</v>
      </c>
    </row>
    <row r="144" spans="8:31" ht="18" x14ac:dyDescent="0.35">
      <c r="H144" s="26">
        <v>87</v>
      </c>
      <c r="I144" s="332" t="s">
        <v>46</v>
      </c>
      <c r="J144" s="328" t="s">
        <v>79</v>
      </c>
      <c r="K144" s="23" t="str" cm="1">
        <f t="array" ref="K144">_xlfn.SWITCH(K121,"N/A","L","L","M","M","H","H","E","E","N/A")</f>
        <v>N/A</v>
      </c>
      <c r="L144" t="str" cm="1">
        <f t="array" ref="L144">_xlfn.SWITCH(L121,"N/A","L","L","M","M","H","H","E","E","N/A")</f>
        <v>L</v>
      </c>
      <c r="M144" t="str" cm="1">
        <f t="array" ref="M144">_xlfn.SWITCH(M121,"N/A","L","L","M","M","H","H","E","E","N/A")</f>
        <v>L</v>
      </c>
      <c r="N144" t="str" cm="1">
        <f t="array" ref="N144">_xlfn.SWITCH(N121,"N/A","L","L","M","M","H","H","E","E","N/A")</f>
        <v>E</v>
      </c>
      <c r="O144" t="str" cm="1">
        <f t="array" ref="O144">_xlfn.SWITCH(O121,"N/A","L","L","M","M","H","H","E","E","N/A")</f>
        <v>E</v>
      </c>
      <c r="P144" t="str" cm="1">
        <f t="array" ref="P144">_xlfn.SWITCH(P121,"N/A","L","L","M","M","H","H","E","E","N/A")</f>
        <v>E</v>
      </c>
      <c r="Q144" s="19" t="str" cm="1">
        <f t="array" ref="Q144">_xlfn.SWITCH(Q121,"N/A","L","L","M","M","H","H","E","E","N/A")</f>
        <v>N/A</v>
      </c>
      <c r="R144" s="23" t="str" cm="1">
        <f t="array" ref="R144">_xlfn.LET(_xlpm.Fin,_xlfn.XLOOKUP(K144,Exp_Shift[[Rating]:[Rating]],Exp_Shift[[Number]:[Number]],0,0),_xlpm.Init,_xlfn.XLOOKUP(K75,Exp_Shift[[Rating]:[Rating]],Exp_Shift[[Number]:[Number]],0,0),_xlpm.X,_xlfn.XLOOKUP(R75,Exp_Shift[[Rating]:[Rating]],Exp_Shift[[Number]:[Number]],0,0), IF(_xlpm.Fin-_xlpm.Init&gt;0, _xlfn.XLOOKUP(MIN(4,_xlpm.X+_xlpm.Fin-_xlpm.Init),Exp_Shift[[Number]:[Number]],Exp_Shift[[Rating]:[Rating]],0,0),IF(_xlpm.Fin-_xlpm.Init&lt;0,_xlfn.XLOOKUP(MAX(0,_xlpm.X-1),Exp_Shift[[Number]:[Number]],Exp_Shift[[Rating]:[Rating]],0,0),R75)))</f>
        <v>M</v>
      </c>
      <c r="S144" t="str" cm="1">
        <f t="array" ref="S144">_xlfn.LET(_xlpm.Fin,_xlfn.XLOOKUP(L144,Exp_Shift[[Rating]:[Rating]],Exp_Shift[[Number]:[Number]],0,0),_xlpm.Init,_xlfn.XLOOKUP(L75,Exp_Shift[[Rating]:[Rating]],Exp_Shift[[Number]:[Number]],0,0),_xlpm.X,_xlfn.XLOOKUP(S75,Exp_Shift[[Rating]:[Rating]],Exp_Shift[[Number]:[Number]],0,0), IF(_xlpm.Fin-_xlpm.Init&gt;0, _xlfn.XLOOKUP(MIN(4,_xlpm.X+_xlpm.Fin-_xlpm.Init),Exp_Shift[[Number]:[Number]],Exp_Shift[[Rating]:[Rating]],0,0),IF(_xlpm.Fin-_xlpm.Init&lt;0,_xlfn.XLOOKUP(MAX(0,_xlpm.X-1),Exp_Shift[[Number]:[Number]],Exp_Shift[[Rating]:[Rating]],0,0),S75)))</f>
        <v>M</v>
      </c>
      <c r="T144" t="str" cm="1">
        <f t="array" ref="T144">_xlfn.LET(_xlpm.Fin,_xlfn.XLOOKUP(M144,Exp_Shift[[Rating]:[Rating]],Exp_Shift[[Number]:[Number]],0,0),_xlpm.Init,_xlfn.XLOOKUP(M75,Exp_Shift[[Rating]:[Rating]],Exp_Shift[[Number]:[Number]],0,0),_xlpm.X,_xlfn.XLOOKUP(T75,Exp_Shift[[Rating]:[Rating]],Exp_Shift[[Number]:[Number]],0,0), IF(_xlpm.Fin-_xlpm.Init&gt;0, _xlfn.XLOOKUP(MIN(4,_xlpm.X+_xlpm.Fin-_xlpm.Init),Exp_Shift[[Number]:[Number]],Exp_Shift[[Rating]:[Rating]],0,0),IF(_xlpm.Fin-_xlpm.Init&lt;0,_xlfn.XLOOKUP(MAX(0,_xlpm.X-1),Exp_Shift[[Number]:[Number]],Exp_Shift[[Rating]:[Rating]],0,0),T75)))</f>
        <v>H</v>
      </c>
      <c r="U144" t="str" cm="1">
        <f t="array" ref="U144">_xlfn.LET(_xlpm.Fin,_xlfn.XLOOKUP(N144,Exp_Shift[[Rating]:[Rating]],Exp_Shift[[Number]:[Number]],0,0),_xlpm.Init,_xlfn.XLOOKUP(N75,Exp_Shift[[Rating]:[Rating]],Exp_Shift[[Number]:[Number]],0,0),_xlpm.X,_xlfn.XLOOKUP(U75,Exp_Shift[[Rating]:[Rating]],Exp_Shift[[Number]:[Number]],0,0), IF(_xlpm.Fin-_xlpm.Init&gt;0, _xlfn.XLOOKUP(MIN(4,_xlpm.X+_xlpm.Fin-_xlpm.Init),Exp_Shift[[Number]:[Number]],Exp_Shift[[Rating]:[Rating]],0,0),IF(_xlpm.Fin-_xlpm.Init&lt;0,_xlfn.XLOOKUP(MAX(0,_xlpm.X-1),Exp_Shift[[Number]:[Number]],Exp_Shift[[Rating]:[Rating]],0,0),U75)))</f>
        <v>E</v>
      </c>
      <c r="V144" t="str" cm="1">
        <f t="array" ref="V144">_xlfn.LET(_xlpm.Fin,_xlfn.XLOOKUP(O144,Exp_Shift[[Rating]:[Rating]],Exp_Shift[[Number]:[Number]],0,0),_xlpm.Init,_xlfn.XLOOKUP(O75,Exp_Shift[[Rating]:[Rating]],Exp_Shift[[Number]:[Number]],0,0),_xlpm.X,_xlfn.XLOOKUP(V75,Exp_Shift[[Rating]:[Rating]],Exp_Shift[[Number]:[Number]],0,0), IF(_xlpm.Fin-_xlpm.Init&gt;0, _xlfn.XLOOKUP(MIN(4,_xlpm.X+_xlpm.Fin-_xlpm.Init),Exp_Shift[[Number]:[Number]],Exp_Shift[[Rating]:[Rating]],0,0),IF(_xlpm.Fin-_xlpm.Init&lt;0,_xlfn.XLOOKUP(MAX(0,_xlpm.X-1),Exp_Shift[[Number]:[Number]],Exp_Shift[[Rating]:[Rating]],0,0),V75)))</f>
        <v>E</v>
      </c>
      <c r="W144" t="str" cm="1">
        <f t="array" ref="W144">_xlfn.LET(_xlpm.Fin,_xlfn.XLOOKUP(P144,Exp_Shift[[Rating]:[Rating]],Exp_Shift[[Number]:[Number]],0,0),_xlpm.Init,_xlfn.XLOOKUP(P75,Exp_Shift[[Rating]:[Rating]],Exp_Shift[[Number]:[Number]],0,0),_xlpm.X,_xlfn.XLOOKUP(W75,Exp_Shift[[Rating]:[Rating]],Exp_Shift[[Number]:[Number]],0,0), IF(_xlpm.Fin-_xlpm.Init&gt;0, _xlfn.XLOOKUP(MIN(4,_xlpm.X+_xlpm.Fin-_xlpm.Init),Exp_Shift[[Number]:[Number]],Exp_Shift[[Rating]:[Rating]],0,0),IF(_xlpm.Fin-_xlpm.Init&lt;0,_xlfn.XLOOKUP(MAX(0,_xlpm.X-1),Exp_Shift[[Number]:[Number]],Exp_Shift[[Rating]:[Rating]],0,0),W75)))</f>
        <v>E</v>
      </c>
      <c r="X144" s="19" t="str" cm="1">
        <f t="array" ref="X144">_xlfn.LET(_xlpm.Fin,_xlfn.XLOOKUP(Q144,Exp_Shift[[Rating]:[Rating]],Exp_Shift[[Number]:[Number]],0,0),_xlpm.Init,_xlfn.XLOOKUP(Q75,Exp_Shift[[Rating]:[Rating]],Exp_Shift[[Number]:[Number]],0,0),_xlpm.X,_xlfn.XLOOKUP(X75,Exp_Shift[[Rating]:[Rating]],Exp_Shift[[Number]:[Number]],0,0), IF(_xlpm.Fin-_xlpm.Init&gt;0, _xlfn.XLOOKUP(MIN(4,_xlpm.X+_xlpm.Fin-_xlpm.Init),Exp_Shift[[Number]:[Number]],Exp_Shift[[Rating]:[Rating]],0,0),IF(_xlpm.Fin-_xlpm.Init&lt;0,_xlfn.XLOOKUP(MAX(0,_xlpm.X-1),Exp_Shift[[Number]:[Number]],Exp_Shift[[Rating]:[Rating]],0,0),X75)))</f>
        <v>M</v>
      </c>
      <c r="Y144" s="23" t="str" cm="1">
        <f t="array" ref="Y144">_xlfn.LET(_xlpm.Fin,_xlfn.XLOOKUP(K144,Exp_Shift[[Rating]:[Rating]],Exp_Shift[[Number]:[Number]],0,0),_xlpm.Init,_xlfn.XLOOKUP(K75,Exp_Shift[[Rating]:[Rating]],Exp_Shift[[Number]:[Number]],0,0),_xlpm.X,_xlfn.XLOOKUP(Y75,Exp_Shift[[Rating]:[Rating]],Exp_Shift[[Number]:[Number]],0,0), IF(_xlpm.Fin-_xlpm.Init&gt;0, _xlfn.XLOOKUP(MIN(4,_xlpm.X+1),Exp_Shift[[Number]:[Number]],Exp_Shift[[Rating]:[Rating]],0,0),IF(_xlpm.Fin-_xlpm.Init&lt;0,_xlfn.XLOOKUP(MAX(0,_xlpm.X),Exp_Shift[[Number]:[Number]],Exp_Shift[[Rating]:[Rating]],0,0),Y75)))</f>
        <v>E</v>
      </c>
      <c r="Z144" t="str" cm="1">
        <f t="array" ref="Z144">_xlfn.LET(_xlpm.Fin,_xlfn.XLOOKUP(L144,Exp_Shift[[Rating]:[Rating]],Exp_Shift[[Number]:[Number]],0,0),_xlpm.Init,_xlfn.XLOOKUP(L75,Exp_Shift[[Rating]:[Rating]],Exp_Shift[[Number]:[Number]],0,0),_xlpm.X,_xlfn.XLOOKUP(Z75,Exp_Shift[[Rating]:[Rating]],Exp_Shift[[Number]:[Number]],0,0), IF(_xlpm.Fin-_xlpm.Init&gt;0, _xlfn.XLOOKUP(MIN(4,_xlpm.X+1),Exp_Shift[[Number]:[Number]],Exp_Shift[[Rating]:[Rating]],0,0),IF(_xlpm.Fin-_xlpm.Init&lt;0,_xlfn.XLOOKUP(MAX(0,_xlpm.X),Exp_Shift[[Number]:[Number]],Exp_Shift[[Rating]:[Rating]],0,0),Z75)))</f>
        <v>H</v>
      </c>
      <c r="AA144" t="str" cm="1">
        <f t="array" ref="AA144">_xlfn.LET(_xlpm.Fin,_xlfn.XLOOKUP(M144,Exp_Shift[[Rating]:[Rating]],Exp_Shift[[Number]:[Number]],0,0),_xlpm.Init,_xlfn.XLOOKUP(M75,Exp_Shift[[Rating]:[Rating]],Exp_Shift[[Number]:[Number]],0,0),_xlpm.X,_xlfn.XLOOKUP(AA75,Exp_Shift[[Rating]:[Rating]],Exp_Shift[[Number]:[Number]],0,0), IF(_xlpm.Fin-_xlpm.Init&gt;0, _xlfn.XLOOKUP(MIN(4,_xlpm.X+1),Exp_Shift[[Number]:[Number]],Exp_Shift[[Rating]:[Rating]],0,0),IF(_xlpm.Fin-_xlpm.Init&lt;0,_xlfn.XLOOKUP(MAX(0,_xlpm.X),Exp_Shift[[Number]:[Number]],Exp_Shift[[Rating]:[Rating]],0,0),AA75)))</f>
        <v>E</v>
      </c>
      <c r="AB144" t="str" cm="1">
        <f t="array" ref="AB144">_xlfn.LET(_xlpm.Fin,_xlfn.XLOOKUP(N144,Exp_Shift[[Rating]:[Rating]],Exp_Shift[[Number]:[Number]],0,0),_xlpm.Init,_xlfn.XLOOKUP(N75,Exp_Shift[[Rating]:[Rating]],Exp_Shift[[Number]:[Number]],0,0),_xlpm.X,_xlfn.XLOOKUP(AB75,Exp_Shift[[Rating]:[Rating]],Exp_Shift[[Number]:[Number]],0,0), IF(_xlpm.Fin-_xlpm.Init&gt;0, _xlfn.XLOOKUP(MIN(4,_xlpm.X+1),Exp_Shift[[Number]:[Number]],Exp_Shift[[Rating]:[Rating]],0,0),IF(_xlpm.Fin-_xlpm.Init&lt;0,_xlfn.XLOOKUP(MAX(0,_xlpm.X),Exp_Shift[[Number]:[Number]],Exp_Shift[[Rating]:[Rating]],0,0),AB75)))</f>
        <v>M</v>
      </c>
      <c r="AC144" t="str" cm="1">
        <f t="array" ref="AC144">_xlfn.LET(_xlpm.Fin,_xlfn.XLOOKUP(O144,Exp_Shift[[Rating]:[Rating]],Exp_Shift[[Number]:[Number]],0,0),_xlpm.Init,_xlfn.XLOOKUP(O75,Exp_Shift[[Rating]:[Rating]],Exp_Shift[[Number]:[Number]],0,0),_xlpm.X,_xlfn.XLOOKUP(AC75,Exp_Shift[[Rating]:[Rating]],Exp_Shift[[Number]:[Number]],0,0), IF(_xlpm.Fin-_xlpm.Init&gt;0, _xlfn.XLOOKUP(MIN(4,_xlpm.X+1),Exp_Shift[[Number]:[Number]],Exp_Shift[[Rating]:[Rating]],0,0),IF(_xlpm.Fin-_xlpm.Init&lt;0,_xlfn.XLOOKUP(MAX(0,_xlpm.X),Exp_Shift[[Number]:[Number]],Exp_Shift[[Rating]:[Rating]],0,0),AC75)))</f>
        <v>E</v>
      </c>
      <c r="AD144" t="str" cm="1">
        <f t="array" ref="AD144">_xlfn.LET(_xlpm.Fin,_xlfn.XLOOKUP(P144,Exp_Shift[[Rating]:[Rating]],Exp_Shift[[Number]:[Number]],0,0),_xlpm.Init,_xlfn.XLOOKUP(P75,Exp_Shift[[Rating]:[Rating]],Exp_Shift[[Number]:[Number]],0,0),_xlpm.X,_xlfn.XLOOKUP(AD75,Exp_Shift[[Rating]:[Rating]],Exp_Shift[[Number]:[Number]],0,0), IF(_xlpm.Fin-_xlpm.Init&gt;0, _xlfn.XLOOKUP(MIN(4,_xlpm.X+1),Exp_Shift[[Number]:[Number]],Exp_Shift[[Rating]:[Rating]],0,0),IF(_xlpm.Fin-_xlpm.Init&lt;0,_xlfn.XLOOKUP(MAX(0,_xlpm.X),Exp_Shift[[Number]:[Number]],Exp_Shift[[Rating]:[Rating]],0,0),AD75)))</f>
        <v>E</v>
      </c>
      <c r="AE144" s="27" t="str" cm="1">
        <f t="array" ref="AE144">_xlfn.LET(_xlpm.Fin,_xlfn.XLOOKUP(Q144,Exp_Shift[[Rating]:[Rating]],Exp_Shift[[Number]:[Number]],0,0),_xlpm.Init,_xlfn.XLOOKUP(Q75,Exp_Shift[[Rating]:[Rating]],Exp_Shift[[Number]:[Number]],0,0),_xlpm.X,_xlfn.XLOOKUP(AE75,Exp_Shift[[Rating]:[Rating]],Exp_Shift[[Number]:[Number]],0,0), IF(_xlpm.Fin-_xlpm.Init&gt;0, _xlfn.XLOOKUP(MIN(4,_xlpm.X+1),Exp_Shift[[Number]:[Number]],Exp_Shift[[Rating]:[Rating]],0,0),IF(_xlpm.Fin-_xlpm.Init&lt;0,_xlfn.XLOOKUP(MAX(0,_xlpm.X),Exp_Shift[[Number]:[Number]],Exp_Shift[[Rating]:[Rating]],0,0),AE75)))</f>
        <v>E</v>
      </c>
    </row>
    <row r="145" spans="8:31" ht="18" x14ac:dyDescent="0.35">
      <c r="H145" s="26">
        <v>88</v>
      </c>
      <c r="I145" s="332" t="s">
        <v>46</v>
      </c>
      <c r="J145" s="328" t="s">
        <v>443</v>
      </c>
      <c r="K145" s="23" t="str" cm="1">
        <f t="array" ref="K145">_xlfn.SWITCH(K122,"N/A","L","L","M","M","H","H","E","E","N/A")</f>
        <v>N/A</v>
      </c>
      <c r="L145" t="str" cm="1">
        <f t="array" ref="L145">_xlfn.SWITCH(L122,"N/A","L","L","M","M","H","H","E","E","N/A")</f>
        <v>L</v>
      </c>
      <c r="M145" t="str" cm="1">
        <f t="array" ref="M145">_xlfn.SWITCH(M122,"N/A","L","L","M","M","H","H","E","E","N/A")</f>
        <v>L</v>
      </c>
      <c r="N145" t="str" cm="1">
        <f t="array" ref="N145">_xlfn.SWITCH(N122,"N/A","L","L","M","M","H","H","E","E","N/A")</f>
        <v>E</v>
      </c>
      <c r="O145" t="str" cm="1">
        <f t="array" ref="O145">_xlfn.SWITCH(O122,"N/A","L","L","M","M","H","H","E","E","N/A")</f>
        <v>H</v>
      </c>
      <c r="P145" t="str" cm="1">
        <f t="array" ref="P145">_xlfn.SWITCH(P122,"N/A","L","L","M","M","H","H","E","E","N/A")</f>
        <v>H</v>
      </c>
      <c r="Q145" s="19" t="str" cm="1">
        <f t="array" ref="Q145">_xlfn.SWITCH(Q122,"N/A","L","L","M","M","H","H","E","E","N/A")</f>
        <v>N/A</v>
      </c>
      <c r="R145" s="23" t="str" cm="1">
        <f t="array" ref="R145">_xlfn.LET(_xlpm.Fin,_xlfn.XLOOKUP(K145,Exp_Shift[[Rating]:[Rating]],Exp_Shift[[Number]:[Number]],0,0),_xlpm.Init,_xlfn.XLOOKUP(K76,Exp_Shift[[Rating]:[Rating]],Exp_Shift[[Number]:[Number]],0,0),_xlpm.X,_xlfn.XLOOKUP(R76,Exp_Shift[[Rating]:[Rating]],Exp_Shift[[Number]:[Number]],0,0), IF(_xlpm.Fin-_xlpm.Init&gt;0, _xlfn.XLOOKUP(MIN(4,_xlpm.X+_xlpm.Fin-_xlpm.Init),Exp_Shift[[Number]:[Number]],Exp_Shift[[Rating]:[Rating]],0,0),IF(_xlpm.Fin-_xlpm.Init&lt;0,_xlfn.XLOOKUP(MAX(0,_xlpm.X-1),Exp_Shift[[Number]:[Number]],Exp_Shift[[Rating]:[Rating]],0,0),R76)))</f>
        <v>M</v>
      </c>
      <c r="S145" t="str" cm="1">
        <f t="array" ref="S145">_xlfn.LET(_xlpm.Fin,_xlfn.XLOOKUP(L145,Exp_Shift[[Rating]:[Rating]],Exp_Shift[[Number]:[Number]],0,0),_xlpm.Init,_xlfn.XLOOKUP(L76,Exp_Shift[[Rating]:[Rating]],Exp_Shift[[Number]:[Number]],0,0),_xlpm.X,_xlfn.XLOOKUP(S76,Exp_Shift[[Rating]:[Rating]],Exp_Shift[[Number]:[Number]],0,0), IF(_xlpm.Fin-_xlpm.Init&gt;0, _xlfn.XLOOKUP(MIN(4,_xlpm.X+_xlpm.Fin-_xlpm.Init),Exp_Shift[[Number]:[Number]],Exp_Shift[[Rating]:[Rating]],0,0),IF(_xlpm.Fin-_xlpm.Init&lt;0,_xlfn.XLOOKUP(MAX(0,_xlpm.X-1),Exp_Shift[[Number]:[Number]],Exp_Shift[[Rating]:[Rating]],0,0),S76)))</f>
        <v>M</v>
      </c>
      <c r="T145" t="str" cm="1">
        <f t="array" ref="T145">_xlfn.LET(_xlpm.Fin,_xlfn.XLOOKUP(M145,Exp_Shift[[Rating]:[Rating]],Exp_Shift[[Number]:[Number]],0,0),_xlpm.Init,_xlfn.XLOOKUP(M76,Exp_Shift[[Rating]:[Rating]],Exp_Shift[[Number]:[Number]],0,0),_xlpm.X,_xlfn.XLOOKUP(T76,Exp_Shift[[Rating]:[Rating]],Exp_Shift[[Number]:[Number]],0,0), IF(_xlpm.Fin-_xlpm.Init&gt;0, _xlfn.XLOOKUP(MIN(4,_xlpm.X+_xlpm.Fin-_xlpm.Init),Exp_Shift[[Number]:[Number]],Exp_Shift[[Rating]:[Rating]],0,0),IF(_xlpm.Fin-_xlpm.Init&lt;0,_xlfn.XLOOKUP(MAX(0,_xlpm.X-1),Exp_Shift[[Number]:[Number]],Exp_Shift[[Rating]:[Rating]],0,0),T76)))</f>
        <v>H</v>
      </c>
      <c r="U145" t="str" cm="1">
        <f t="array" ref="U145">_xlfn.LET(_xlpm.Fin,_xlfn.XLOOKUP(N145,Exp_Shift[[Rating]:[Rating]],Exp_Shift[[Number]:[Number]],0,0),_xlpm.Init,_xlfn.XLOOKUP(N76,Exp_Shift[[Rating]:[Rating]],Exp_Shift[[Number]:[Number]],0,0),_xlpm.X,_xlfn.XLOOKUP(U76,Exp_Shift[[Rating]:[Rating]],Exp_Shift[[Number]:[Number]],0,0), IF(_xlpm.Fin-_xlpm.Init&gt;0, _xlfn.XLOOKUP(MIN(4,_xlpm.X+_xlpm.Fin-_xlpm.Init),Exp_Shift[[Number]:[Number]],Exp_Shift[[Rating]:[Rating]],0,0),IF(_xlpm.Fin-_xlpm.Init&lt;0,_xlfn.XLOOKUP(MAX(0,_xlpm.X-1),Exp_Shift[[Number]:[Number]],Exp_Shift[[Rating]:[Rating]],0,0),U76)))</f>
        <v>E</v>
      </c>
      <c r="V145" t="str" cm="1">
        <f t="array" ref="V145">_xlfn.LET(_xlpm.Fin,_xlfn.XLOOKUP(O145,Exp_Shift[[Rating]:[Rating]],Exp_Shift[[Number]:[Number]],0,0),_xlpm.Init,_xlfn.XLOOKUP(O76,Exp_Shift[[Rating]:[Rating]],Exp_Shift[[Number]:[Number]],0,0),_xlpm.X,_xlfn.XLOOKUP(V76,Exp_Shift[[Rating]:[Rating]],Exp_Shift[[Number]:[Number]],0,0), IF(_xlpm.Fin-_xlpm.Init&gt;0, _xlfn.XLOOKUP(MIN(4,_xlpm.X+_xlpm.Fin-_xlpm.Init),Exp_Shift[[Number]:[Number]],Exp_Shift[[Rating]:[Rating]],0,0),IF(_xlpm.Fin-_xlpm.Init&lt;0,_xlfn.XLOOKUP(MAX(0,_xlpm.X-1),Exp_Shift[[Number]:[Number]],Exp_Shift[[Rating]:[Rating]],0,0),V76)))</f>
        <v>H</v>
      </c>
      <c r="W145" t="str" cm="1">
        <f t="array" ref="W145">_xlfn.LET(_xlpm.Fin,_xlfn.XLOOKUP(P145,Exp_Shift[[Rating]:[Rating]],Exp_Shift[[Number]:[Number]],0,0),_xlpm.Init,_xlfn.XLOOKUP(P76,Exp_Shift[[Rating]:[Rating]],Exp_Shift[[Number]:[Number]],0,0),_xlpm.X,_xlfn.XLOOKUP(W76,Exp_Shift[[Rating]:[Rating]],Exp_Shift[[Number]:[Number]],0,0), IF(_xlpm.Fin-_xlpm.Init&gt;0, _xlfn.XLOOKUP(MIN(4,_xlpm.X+_xlpm.Fin-_xlpm.Init),Exp_Shift[[Number]:[Number]],Exp_Shift[[Rating]:[Rating]],0,0),IF(_xlpm.Fin-_xlpm.Init&lt;0,_xlfn.XLOOKUP(MAX(0,_xlpm.X-1),Exp_Shift[[Number]:[Number]],Exp_Shift[[Rating]:[Rating]],0,0),W76)))</f>
        <v>H</v>
      </c>
      <c r="X145" s="19" t="str" cm="1">
        <f t="array" ref="X145">_xlfn.LET(_xlpm.Fin,_xlfn.XLOOKUP(Q145,Exp_Shift[[Rating]:[Rating]],Exp_Shift[[Number]:[Number]],0,0),_xlpm.Init,_xlfn.XLOOKUP(Q76,Exp_Shift[[Rating]:[Rating]],Exp_Shift[[Number]:[Number]],0,0),_xlpm.X,_xlfn.XLOOKUP(X76,Exp_Shift[[Rating]:[Rating]],Exp_Shift[[Number]:[Number]],0,0), IF(_xlpm.Fin-_xlpm.Init&gt;0, _xlfn.XLOOKUP(MIN(4,_xlpm.X+_xlpm.Fin-_xlpm.Init),Exp_Shift[[Number]:[Number]],Exp_Shift[[Rating]:[Rating]],0,0),IF(_xlpm.Fin-_xlpm.Init&lt;0,_xlfn.XLOOKUP(MAX(0,_xlpm.X-1),Exp_Shift[[Number]:[Number]],Exp_Shift[[Rating]:[Rating]],0,0),X76)))</f>
        <v>L</v>
      </c>
      <c r="Y145" s="23" t="str" cm="1">
        <f t="array" ref="Y145">_xlfn.LET(_xlpm.Fin,_xlfn.XLOOKUP(K145,Exp_Shift[[Rating]:[Rating]],Exp_Shift[[Number]:[Number]],0,0),_xlpm.Init,_xlfn.XLOOKUP(K76,Exp_Shift[[Rating]:[Rating]],Exp_Shift[[Number]:[Number]],0,0),_xlpm.X,_xlfn.XLOOKUP(Y76,Exp_Shift[[Rating]:[Rating]],Exp_Shift[[Number]:[Number]],0,0), IF(_xlpm.Fin-_xlpm.Init&gt;0, _xlfn.XLOOKUP(MIN(4,_xlpm.X+1),Exp_Shift[[Number]:[Number]],Exp_Shift[[Rating]:[Rating]],0,0),IF(_xlpm.Fin-_xlpm.Init&lt;0,_xlfn.XLOOKUP(MAX(0,_xlpm.X),Exp_Shift[[Number]:[Number]],Exp_Shift[[Rating]:[Rating]],0,0),Y76)))</f>
        <v>H</v>
      </c>
      <c r="Z145" t="str" cm="1">
        <f t="array" ref="Z145">_xlfn.LET(_xlpm.Fin,_xlfn.XLOOKUP(L145,Exp_Shift[[Rating]:[Rating]],Exp_Shift[[Number]:[Number]],0,0),_xlpm.Init,_xlfn.XLOOKUP(L76,Exp_Shift[[Rating]:[Rating]],Exp_Shift[[Number]:[Number]],0,0),_xlpm.X,_xlfn.XLOOKUP(Z76,Exp_Shift[[Rating]:[Rating]],Exp_Shift[[Number]:[Number]],0,0), IF(_xlpm.Fin-_xlpm.Init&gt;0, _xlfn.XLOOKUP(MIN(4,_xlpm.X+1),Exp_Shift[[Number]:[Number]],Exp_Shift[[Rating]:[Rating]],0,0),IF(_xlpm.Fin-_xlpm.Init&lt;0,_xlfn.XLOOKUP(MAX(0,_xlpm.X),Exp_Shift[[Number]:[Number]],Exp_Shift[[Rating]:[Rating]],0,0),Z76)))</f>
        <v>H</v>
      </c>
      <c r="AA145" t="str" cm="1">
        <f t="array" ref="AA145">_xlfn.LET(_xlpm.Fin,_xlfn.XLOOKUP(M145,Exp_Shift[[Rating]:[Rating]],Exp_Shift[[Number]:[Number]],0,0),_xlpm.Init,_xlfn.XLOOKUP(M76,Exp_Shift[[Rating]:[Rating]],Exp_Shift[[Number]:[Number]],0,0),_xlpm.X,_xlfn.XLOOKUP(AA76,Exp_Shift[[Rating]:[Rating]],Exp_Shift[[Number]:[Number]],0,0), IF(_xlpm.Fin-_xlpm.Init&gt;0, _xlfn.XLOOKUP(MIN(4,_xlpm.X+1),Exp_Shift[[Number]:[Number]],Exp_Shift[[Rating]:[Rating]],0,0),IF(_xlpm.Fin-_xlpm.Init&lt;0,_xlfn.XLOOKUP(MAX(0,_xlpm.X),Exp_Shift[[Number]:[Number]],Exp_Shift[[Rating]:[Rating]],0,0),AA76)))</f>
        <v>E</v>
      </c>
      <c r="AB145" t="str" cm="1">
        <f t="array" ref="AB145">_xlfn.LET(_xlpm.Fin,_xlfn.XLOOKUP(N145,Exp_Shift[[Rating]:[Rating]],Exp_Shift[[Number]:[Number]],0,0),_xlpm.Init,_xlfn.XLOOKUP(N76,Exp_Shift[[Rating]:[Rating]],Exp_Shift[[Number]:[Number]],0,0),_xlpm.X,_xlfn.XLOOKUP(AB76,Exp_Shift[[Rating]:[Rating]],Exp_Shift[[Number]:[Number]],0,0), IF(_xlpm.Fin-_xlpm.Init&gt;0, _xlfn.XLOOKUP(MIN(4,_xlpm.X+1),Exp_Shift[[Number]:[Number]],Exp_Shift[[Rating]:[Rating]],0,0),IF(_xlpm.Fin-_xlpm.Init&lt;0,_xlfn.XLOOKUP(MAX(0,_xlpm.X),Exp_Shift[[Number]:[Number]],Exp_Shift[[Rating]:[Rating]],0,0),AB76)))</f>
        <v>E</v>
      </c>
      <c r="AC145" t="str" cm="1">
        <f t="array" ref="AC145">_xlfn.LET(_xlpm.Fin,_xlfn.XLOOKUP(O145,Exp_Shift[[Rating]:[Rating]],Exp_Shift[[Number]:[Number]],0,0),_xlpm.Init,_xlfn.XLOOKUP(O76,Exp_Shift[[Rating]:[Rating]],Exp_Shift[[Number]:[Number]],0,0),_xlpm.X,_xlfn.XLOOKUP(AC76,Exp_Shift[[Rating]:[Rating]],Exp_Shift[[Number]:[Number]],0,0), IF(_xlpm.Fin-_xlpm.Init&gt;0, _xlfn.XLOOKUP(MIN(4,_xlpm.X+1),Exp_Shift[[Number]:[Number]],Exp_Shift[[Rating]:[Rating]],0,0),IF(_xlpm.Fin-_xlpm.Init&lt;0,_xlfn.XLOOKUP(MAX(0,_xlpm.X),Exp_Shift[[Number]:[Number]],Exp_Shift[[Rating]:[Rating]],0,0),AC76)))</f>
        <v>L</v>
      </c>
      <c r="AD145" t="str" cm="1">
        <f t="array" ref="AD145">_xlfn.LET(_xlpm.Fin,_xlfn.XLOOKUP(P145,Exp_Shift[[Rating]:[Rating]],Exp_Shift[[Number]:[Number]],0,0),_xlpm.Init,_xlfn.XLOOKUP(P76,Exp_Shift[[Rating]:[Rating]],Exp_Shift[[Number]:[Number]],0,0),_xlpm.X,_xlfn.XLOOKUP(AD76,Exp_Shift[[Rating]:[Rating]],Exp_Shift[[Number]:[Number]],0,0), IF(_xlpm.Fin-_xlpm.Init&gt;0, _xlfn.XLOOKUP(MIN(4,_xlpm.X+1),Exp_Shift[[Number]:[Number]],Exp_Shift[[Rating]:[Rating]],0,0),IF(_xlpm.Fin-_xlpm.Init&lt;0,_xlfn.XLOOKUP(MAX(0,_xlpm.X),Exp_Shift[[Number]:[Number]],Exp_Shift[[Rating]:[Rating]],0,0),AD76)))</f>
        <v>L</v>
      </c>
      <c r="AE145" s="27" t="str" cm="1">
        <f t="array" ref="AE145">_xlfn.LET(_xlpm.Fin,_xlfn.XLOOKUP(Q145,Exp_Shift[[Rating]:[Rating]],Exp_Shift[[Number]:[Number]],0,0),_xlpm.Init,_xlfn.XLOOKUP(Q76,Exp_Shift[[Rating]:[Rating]],Exp_Shift[[Number]:[Number]],0,0),_xlpm.X,_xlfn.XLOOKUP(AE76,Exp_Shift[[Rating]:[Rating]],Exp_Shift[[Number]:[Number]],0,0), IF(_xlpm.Fin-_xlpm.Init&gt;0, _xlfn.XLOOKUP(MIN(4,_xlpm.X+1),Exp_Shift[[Number]:[Number]],Exp_Shift[[Rating]:[Rating]],0,0),IF(_xlpm.Fin-_xlpm.Init&lt;0,_xlfn.XLOOKUP(MAX(0,_xlpm.X),Exp_Shift[[Number]:[Number]],Exp_Shift[[Rating]:[Rating]],0,0),AE76)))</f>
        <v>M</v>
      </c>
    </row>
    <row r="146" spans="8:31" ht="18" x14ac:dyDescent="0.35">
      <c r="H146" s="26">
        <v>89</v>
      </c>
      <c r="I146" s="332" t="s">
        <v>46</v>
      </c>
      <c r="J146" s="328" t="s">
        <v>222</v>
      </c>
      <c r="K146" s="23" t="str" cm="1">
        <f t="array" ref="K146">_xlfn.SWITCH(K123,"N/A","L","L","M","M","H","H","E","E","N/A")</f>
        <v>N/A</v>
      </c>
      <c r="L146" t="str" cm="1">
        <f t="array" ref="L146">_xlfn.SWITCH(L123,"N/A","L","L","M","M","H","H","E","E","N/A")</f>
        <v>L</v>
      </c>
      <c r="M146" t="str" cm="1">
        <f t="array" ref="M146">_xlfn.SWITCH(M123,"N/A","L","L","M","M","H","H","E","E","N/A")</f>
        <v>L</v>
      </c>
      <c r="N146" t="str" cm="1">
        <f t="array" ref="N146">_xlfn.SWITCH(N123,"N/A","L","L","M","M","H","H","E","E","N/A")</f>
        <v>E</v>
      </c>
      <c r="O146" t="str" cm="1">
        <f t="array" ref="O146">_xlfn.SWITCH(O123,"N/A","L","L","M","M","H","H","E","E","N/A")</f>
        <v>E</v>
      </c>
      <c r="P146" t="str" cm="1">
        <f t="array" ref="P146">_xlfn.SWITCH(P123,"N/A","L","L","M","M","H","H","E","E","N/A")</f>
        <v>E</v>
      </c>
      <c r="Q146" s="19" t="str" cm="1">
        <f t="array" ref="Q146">_xlfn.SWITCH(Q123,"N/A","L","L","M","M","H","H","E","E","N/A")</f>
        <v>N/A</v>
      </c>
      <c r="R146" s="23" t="str" cm="1">
        <f t="array" ref="R146">_xlfn.LET(_xlpm.Fin,_xlfn.XLOOKUP(K146,Exp_Shift[[Rating]:[Rating]],Exp_Shift[[Number]:[Number]],0,0),_xlpm.Init,_xlfn.XLOOKUP(K77,Exp_Shift[[Rating]:[Rating]],Exp_Shift[[Number]:[Number]],0,0),_xlpm.X,_xlfn.XLOOKUP(R77,Exp_Shift[[Rating]:[Rating]],Exp_Shift[[Number]:[Number]],0,0), IF(_xlpm.Fin-_xlpm.Init&gt;0, _xlfn.XLOOKUP(MIN(4,_xlpm.X+_xlpm.Fin-_xlpm.Init),Exp_Shift[[Number]:[Number]],Exp_Shift[[Rating]:[Rating]],0,0),IF(_xlpm.Fin-_xlpm.Init&lt;0,_xlfn.XLOOKUP(MAX(0,_xlpm.X-1),Exp_Shift[[Number]:[Number]],Exp_Shift[[Rating]:[Rating]],0,0),R77)))</f>
        <v>L</v>
      </c>
      <c r="S146" t="str" cm="1">
        <f t="array" ref="S146">_xlfn.LET(_xlpm.Fin,_xlfn.XLOOKUP(L146,Exp_Shift[[Rating]:[Rating]],Exp_Shift[[Number]:[Number]],0,0),_xlpm.Init,_xlfn.XLOOKUP(L77,Exp_Shift[[Rating]:[Rating]],Exp_Shift[[Number]:[Number]],0,0),_xlpm.X,_xlfn.XLOOKUP(S77,Exp_Shift[[Rating]:[Rating]],Exp_Shift[[Number]:[Number]],0,0), IF(_xlpm.Fin-_xlpm.Init&gt;0, _xlfn.XLOOKUP(MIN(4,_xlpm.X+_xlpm.Fin-_xlpm.Init),Exp_Shift[[Number]:[Number]],Exp_Shift[[Rating]:[Rating]],0,0),IF(_xlpm.Fin-_xlpm.Init&lt;0,_xlfn.XLOOKUP(MAX(0,_xlpm.X-1),Exp_Shift[[Number]:[Number]],Exp_Shift[[Rating]:[Rating]],0,0),S77)))</f>
        <v>M</v>
      </c>
      <c r="T146" t="str" cm="1">
        <f t="array" ref="T146">_xlfn.LET(_xlpm.Fin,_xlfn.XLOOKUP(M146,Exp_Shift[[Rating]:[Rating]],Exp_Shift[[Number]:[Number]],0,0),_xlpm.Init,_xlfn.XLOOKUP(M77,Exp_Shift[[Rating]:[Rating]],Exp_Shift[[Number]:[Number]],0,0),_xlpm.X,_xlfn.XLOOKUP(T77,Exp_Shift[[Rating]:[Rating]],Exp_Shift[[Number]:[Number]],0,0), IF(_xlpm.Fin-_xlpm.Init&gt;0, _xlfn.XLOOKUP(MIN(4,_xlpm.X+_xlpm.Fin-_xlpm.Init),Exp_Shift[[Number]:[Number]],Exp_Shift[[Rating]:[Rating]],0,0),IF(_xlpm.Fin-_xlpm.Init&lt;0,_xlfn.XLOOKUP(MAX(0,_xlpm.X-1),Exp_Shift[[Number]:[Number]],Exp_Shift[[Rating]:[Rating]],0,0),T77)))</f>
        <v>H</v>
      </c>
      <c r="U146" t="str" cm="1">
        <f t="array" ref="U146">_xlfn.LET(_xlpm.Fin,_xlfn.XLOOKUP(N146,Exp_Shift[[Rating]:[Rating]],Exp_Shift[[Number]:[Number]],0,0),_xlpm.Init,_xlfn.XLOOKUP(N77,Exp_Shift[[Rating]:[Rating]],Exp_Shift[[Number]:[Number]],0,0),_xlpm.X,_xlfn.XLOOKUP(U77,Exp_Shift[[Rating]:[Rating]],Exp_Shift[[Number]:[Number]],0,0), IF(_xlpm.Fin-_xlpm.Init&gt;0, _xlfn.XLOOKUP(MIN(4,_xlpm.X+_xlpm.Fin-_xlpm.Init),Exp_Shift[[Number]:[Number]],Exp_Shift[[Rating]:[Rating]],0,0),IF(_xlpm.Fin-_xlpm.Init&lt;0,_xlfn.XLOOKUP(MAX(0,_xlpm.X-1),Exp_Shift[[Number]:[Number]],Exp_Shift[[Rating]:[Rating]],0,0),U77)))</f>
        <v>E</v>
      </c>
      <c r="V146" t="str" cm="1">
        <f t="array" ref="V146">_xlfn.LET(_xlpm.Fin,_xlfn.XLOOKUP(O146,Exp_Shift[[Rating]:[Rating]],Exp_Shift[[Number]:[Number]],0,0),_xlpm.Init,_xlfn.XLOOKUP(O77,Exp_Shift[[Rating]:[Rating]],Exp_Shift[[Number]:[Number]],0,0),_xlpm.X,_xlfn.XLOOKUP(V77,Exp_Shift[[Rating]:[Rating]],Exp_Shift[[Number]:[Number]],0,0), IF(_xlpm.Fin-_xlpm.Init&gt;0, _xlfn.XLOOKUP(MIN(4,_xlpm.X+_xlpm.Fin-_xlpm.Init),Exp_Shift[[Number]:[Number]],Exp_Shift[[Rating]:[Rating]],0,0),IF(_xlpm.Fin-_xlpm.Init&lt;0,_xlfn.XLOOKUP(MAX(0,_xlpm.X-1),Exp_Shift[[Number]:[Number]],Exp_Shift[[Rating]:[Rating]],0,0),V77)))</f>
        <v>E</v>
      </c>
      <c r="W146" t="str" cm="1">
        <f t="array" ref="W146">_xlfn.LET(_xlpm.Fin,_xlfn.XLOOKUP(P146,Exp_Shift[[Rating]:[Rating]],Exp_Shift[[Number]:[Number]],0,0),_xlpm.Init,_xlfn.XLOOKUP(P77,Exp_Shift[[Rating]:[Rating]],Exp_Shift[[Number]:[Number]],0,0),_xlpm.X,_xlfn.XLOOKUP(W77,Exp_Shift[[Rating]:[Rating]],Exp_Shift[[Number]:[Number]],0,0), IF(_xlpm.Fin-_xlpm.Init&gt;0, _xlfn.XLOOKUP(MIN(4,_xlpm.X+_xlpm.Fin-_xlpm.Init),Exp_Shift[[Number]:[Number]],Exp_Shift[[Rating]:[Rating]],0,0),IF(_xlpm.Fin-_xlpm.Init&lt;0,_xlfn.XLOOKUP(MAX(0,_xlpm.X-1),Exp_Shift[[Number]:[Number]],Exp_Shift[[Rating]:[Rating]],0,0),W77)))</f>
        <v>E</v>
      </c>
      <c r="X146" s="19" t="str" cm="1">
        <f t="array" ref="X146">_xlfn.LET(_xlpm.Fin,_xlfn.XLOOKUP(Q146,Exp_Shift[[Rating]:[Rating]],Exp_Shift[[Number]:[Number]],0,0),_xlpm.Init,_xlfn.XLOOKUP(Q77,Exp_Shift[[Rating]:[Rating]],Exp_Shift[[Number]:[Number]],0,0),_xlpm.X,_xlfn.XLOOKUP(X77,Exp_Shift[[Rating]:[Rating]],Exp_Shift[[Number]:[Number]],0,0), IF(_xlpm.Fin-_xlpm.Init&gt;0, _xlfn.XLOOKUP(MIN(4,_xlpm.X+_xlpm.Fin-_xlpm.Init),Exp_Shift[[Number]:[Number]],Exp_Shift[[Rating]:[Rating]],0,0),IF(_xlpm.Fin-_xlpm.Init&lt;0,_xlfn.XLOOKUP(MAX(0,_xlpm.X-1),Exp_Shift[[Number]:[Number]],Exp_Shift[[Rating]:[Rating]],0,0),X77)))</f>
        <v>L</v>
      </c>
      <c r="Y146" s="23" t="str" cm="1">
        <f t="array" ref="Y146">_xlfn.LET(_xlpm.Fin,_xlfn.XLOOKUP(K146,Exp_Shift[[Rating]:[Rating]],Exp_Shift[[Number]:[Number]],0,0),_xlpm.Init,_xlfn.XLOOKUP(K77,Exp_Shift[[Rating]:[Rating]],Exp_Shift[[Number]:[Number]],0,0),_xlpm.X,_xlfn.XLOOKUP(Y77,Exp_Shift[[Rating]:[Rating]],Exp_Shift[[Number]:[Number]],0,0), IF(_xlpm.Fin-_xlpm.Init&gt;0, _xlfn.XLOOKUP(MIN(4,_xlpm.X+1),Exp_Shift[[Number]:[Number]],Exp_Shift[[Rating]:[Rating]],0,0),IF(_xlpm.Fin-_xlpm.Init&lt;0,_xlfn.XLOOKUP(MAX(0,_xlpm.X),Exp_Shift[[Number]:[Number]],Exp_Shift[[Rating]:[Rating]],0,0),Y77)))</f>
        <v>M</v>
      </c>
      <c r="Z146" t="str" cm="1">
        <f t="array" ref="Z146">_xlfn.LET(_xlpm.Fin,_xlfn.XLOOKUP(L146,Exp_Shift[[Rating]:[Rating]],Exp_Shift[[Number]:[Number]],0,0),_xlpm.Init,_xlfn.XLOOKUP(L77,Exp_Shift[[Rating]:[Rating]],Exp_Shift[[Number]:[Number]],0,0),_xlpm.X,_xlfn.XLOOKUP(Z77,Exp_Shift[[Rating]:[Rating]],Exp_Shift[[Number]:[Number]],0,0), IF(_xlpm.Fin-_xlpm.Init&gt;0, _xlfn.XLOOKUP(MIN(4,_xlpm.X+1),Exp_Shift[[Number]:[Number]],Exp_Shift[[Rating]:[Rating]],0,0),IF(_xlpm.Fin-_xlpm.Init&lt;0,_xlfn.XLOOKUP(MAX(0,_xlpm.X),Exp_Shift[[Number]:[Number]],Exp_Shift[[Rating]:[Rating]],0,0),Z77)))</f>
        <v>H</v>
      </c>
      <c r="AA146" t="str" cm="1">
        <f t="array" ref="AA146">_xlfn.LET(_xlpm.Fin,_xlfn.XLOOKUP(M146,Exp_Shift[[Rating]:[Rating]],Exp_Shift[[Number]:[Number]],0,0),_xlpm.Init,_xlfn.XLOOKUP(M77,Exp_Shift[[Rating]:[Rating]],Exp_Shift[[Number]:[Number]],0,0),_xlpm.X,_xlfn.XLOOKUP(AA77,Exp_Shift[[Rating]:[Rating]],Exp_Shift[[Number]:[Number]],0,0), IF(_xlpm.Fin-_xlpm.Init&gt;0, _xlfn.XLOOKUP(MIN(4,_xlpm.X+1),Exp_Shift[[Number]:[Number]],Exp_Shift[[Rating]:[Rating]],0,0),IF(_xlpm.Fin-_xlpm.Init&lt;0,_xlfn.XLOOKUP(MAX(0,_xlpm.X),Exp_Shift[[Number]:[Number]],Exp_Shift[[Rating]:[Rating]],0,0),AA77)))</f>
        <v>E</v>
      </c>
      <c r="AB146" t="str" cm="1">
        <f t="array" ref="AB146">_xlfn.LET(_xlpm.Fin,_xlfn.XLOOKUP(N146,Exp_Shift[[Rating]:[Rating]],Exp_Shift[[Number]:[Number]],0,0),_xlpm.Init,_xlfn.XLOOKUP(N77,Exp_Shift[[Rating]:[Rating]],Exp_Shift[[Number]:[Number]],0,0),_xlpm.X,_xlfn.XLOOKUP(AB77,Exp_Shift[[Rating]:[Rating]],Exp_Shift[[Number]:[Number]],0,0), IF(_xlpm.Fin-_xlpm.Init&gt;0, _xlfn.XLOOKUP(MIN(4,_xlpm.X+1),Exp_Shift[[Number]:[Number]],Exp_Shift[[Rating]:[Rating]],0,0),IF(_xlpm.Fin-_xlpm.Init&lt;0,_xlfn.XLOOKUP(MAX(0,_xlpm.X),Exp_Shift[[Number]:[Number]],Exp_Shift[[Rating]:[Rating]],0,0),AB77)))</f>
        <v>M</v>
      </c>
      <c r="AC146" t="str" cm="1">
        <f t="array" ref="AC146">_xlfn.LET(_xlpm.Fin,_xlfn.XLOOKUP(O146,Exp_Shift[[Rating]:[Rating]],Exp_Shift[[Number]:[Number]],0,0),_xlpm.Init,_xlfn.XLOOKUP(O77,Exp_Shift[[Rating]:[Rating]],Exp_Shift[[Number]:[Number]],0,0),_xlpm.X,_xlfn.XLOOKUP(AC77,Exp_Shift[[Rating]:[Rating]],Exp_Shift[[Number]:[Number]],0,0), IF(_xlpm.Fin-_xlpm.Init&gt;0, _xlfn.XLOOKUP(MIN(4,_xlpm.X+1),Exp_Shift[[Number]:[Number]],Exp_Shift[[Rating]:[Rating]],0,0),IF(_xlpm.Fin-_xlpm.Init&lt;0,_xlfn.XLOOKUP(MAX(0,_xlpm.X),Exp_Shift[[Number]:[Number]],Exp_Shift[[Rating]:[Rating]],0,0),AC77)))</f>
        <v>H</v>
      </c>
      <c r="AD146" t="str" cm="1">
        <f t="array" ref="AD146">_xlfn.LET(_xlpm.Fin,_xlfn.XLOOKUP(P146,Exp_Shift[[Rating]:[Rating]],Exp_Shift[[Number]:[Number]],0,0),_xlpm.Init,_xlfn.XLOOKUP(P77,Exp_Shift[[Rating]:[Rating]],Exp_Shift[[Number]:[Number]],0,0),_xlpm.X,_xlfn.XLOOKUP(AD77,Exp_Shift[[Rating]:[Rating]],Exp_Shift[[Number]:[Number]],0,0), IF(_xlpm.Fin-_xlpm.Init&gt;0, _xlfn.XLOOKUP(MIN(4,_xlpm.X+1),Exp_Shift[[Number]:[Number]],Exp_Shift[[Rating]:[Rating]],0,0),IF(_xlpm.Fin-_xlpm.Init&lt;0,_xlfn.XLOOKUP(MAX(0,_xlpm.X),Exp_Shift[[Number]:[Number]],Exp_Shift[[Rating]:[Rating]],0,0),AD77)))</f>
        <v>H</v>
      </c>
      <c r="AE146" s="27" t="str" cm="1">
        <f t="array" ref="AE146">_xlfn.LET(_xlpm.Fin,_xlfn.XLOOKUP(Q146,Exp_Shift[[Rating]:[Rating]],Exp_Shift[[Number]:[Number]],0,0),_xlpm.Init,_xlfn.XLOOKUP(Q77,Exp_Shift[[Rating]:[Rating]],Exp_Shift[[Number]:[Number]],0,0),_xlpm.X,_xlfn.XLOOKUP(AE77,Exp_Shift[[Rating]:[Rating]],Exp_Shift[[Number]:[Number]],0,0), IF(_xlpm.Fin-_xlpm.Init&gt;0, _xlfn.XLOOKUP(MIN(4,_xlpm.X+1),Exp_Shift[[Number]:[Number]],Exp_Shift[[Rating]:[Rating]],0,0),IF(_xlpm.Fin-_xlpm.Init&lt;0,_xlfn.XLOOKUP(MAX(0,_xlpm.X),Exp_Shift[[Number]:[Number]],Exp_Shift[[Rating]:[Rating]],0,0),AE77)))</f>
        <v>M</v>
      </c>
    </row>
    <row r="147" spans="8:31" ht="18" x14ac:dyDescent="0.35">
      <c r="H147" s="26">
        <v>90</v>
      </c>
      <c r="I147" s="332" t="s">
        <v>46</v>
      </c>
      <c r="J147" s="328" t="s">
        <v>221</v>
      </c>
      <c r="K147" s="23" t="str" cm="1">
        <f t="array" ref="K147">_xlfn.SWITCH(K124,"N/A","L","L","M","M","H","H","E","E","N/A")</f>
        <v>N/A</v>
      </c>
      <c r="L147" t="str" cm="1">
        <f t="array" ref="L147">_xlfn.SWITCH(L124,"N/A","L","L","M","M","H","H","E","E","N/A")</f>
        <v>E</v>
      </c>
      <c r="M147" t="str" cm="1">
        <f t="array" ref="M147">_xlfn.SWITCH(M124,"N/A","L","L","M","M","H","H","E","E","N/A")</f>
        <v>N/A</v>
      </c>
      <c r="N147" t="str" cm="1">
        <f t="array" ref="N147">_xlfn.SWITCH(N124,"N/A","L","L","M","M","H","H","E","E","N/A")</f>
        <v>N/A</v>
      </c>
      <c r="O147" t="str" cm="1">
        <f t="array" ref="O147">_xlfn.SWITCH(O124,"N/A","L","L","M","M","H","H","E","E","N/A")</f>
        <v>H</v>
      </c>
      <c r="P147" t="str" cm="1">
        <f t="array" ref="P147">_xlfn.SWITCH(P124,"N/A","L","L","M","M","H","H","E","E","N/A")</f>
        <v>H</v>
      </c>
      <c r="Q147" s="19" t="str" cm="1">
        <f t="array" ref="Q147">_xlfn.SWITCH(Q124,"N/A","L","L","M","M","H","H","E","E","N/A")</f>
        <v>N/A</v>
      </c>
      <c r="R147" s="23" t="str" cm="1">
        <f t="array" ref="R147">_xlfn.LET(_xlpm.Fin,_xlfn.XLOOKUP(K147,Exp_Shift[[Rating]:[Rating]],Exp_Shift[[Number]:[Number]],0,0),_xlpm.Init,_xlfn.XLOOKUP(K78,Exp_Shift[[Rating]:[Rating]],Exp_Shift[[Number]:[Number]],0,0),_xlpm.X,_xlfn.XLOOKUP(R78,Exp_Shift[[Rating]:[Rating]],Exp_Shift[[Number]:[Number]],0,0), IF(_xlpm.Fin-_xlpm.Init&gt;0, _xlfn.XLOOKUP(MIN(4,_xlpm.X+_xlpm.Fin-_xlpm.Init),Exp_Shift[[Number]:[Number]],Exp_Shift[[Rating]:[Rating]],0,0),IF(_xlpm.Fin-_xlpm.Init&lt;0,_xlfn.XLOOKUP(MAX(0,_xlpm.X-1),Exp_Shift[[Number]:[Number]],Exp_Shift[[Rating]:[Rating]],0,0),R78)))</f>
        <v>M</v>
      </c>
      <c r="S147" t="str" cm="1">
        <f t="array" ref="S147">_xlfn.LET(_xlpm.Fin,_xlfn.XLOOKUP(L147,Exp_Shift[[Rating]:[Rating]],Exp_Shift[[Number]:[Number]],0,0),_xlpm.Init,_xlfn.XLOOKUP(L78,Exp_Shift[[Rating]:[Rating]],Exp_Shift[[Number]:[Number]],0,0),_xlpm.X,_xlfn.XLOOKUP(S78,Exp_Shift[[Rating]:[Rating]],Exp_Shift[[Number]:[Number]],0,0), IF(_xlpm.Fin-_xlpm.Init&gt;0, _xlfn.XLOOKUP(MIN(4,_xlpm.X+_xlpm.Fin-_xlpm.Init),Exp_Shift[[Number]:[Number]],Exp_Shift[[Rating]:[Rating]],0,0),IF(_xlpm.Fin-_xlpm.Init&lt;0,_xlfn.XLOOKUP(MAX(0,_xlpm.X-1),Exp_Shift[[Number]:[Number]],Exp_Shift[[Rating]:[Rating]],0,0),S78)))</f>
        <v>E</v>
      </c>
      <c r="T147" t="str" cm="1">
        <f t="array" ref="T147">_xlfn.LET(_xlpm.Fin,_xlfn.XLOOKUP(M147,Exp_Shift[[Rating]:[Rating]],Exp_Shift[[Number]:[Number]],0,0),_xlpm.Init,_xlfn.XLOOKUP(M78,Exp_Shift[[Rating]:[Rating]],Exp_Shift[[Number]:[Number]],0,0),_xlpm.X,_xlfn.XLOOKUP(T78,Exp_Shift[[Rating]:[Rating]],Exp_Shift[[Number]:[Number]],0,0), IF(_xlpm.Fin-_xlpm.Init&gt;0, _xlfn.XLOOKUP(MIN(4,_xlpm.X+_xlpm.Fin-_xlpm.Init),Exp_Shift[[Number]:[Number]],Exp_Shift[[Rating]:[Rating]],0,0),IF(_xlpm.Fin-_xlpm.Init&lt;0,_xlfn.XLOOKUP(MAX(0,_xlpm.X-1),Exp_Shift[[Number]:[Number]],Exp_Shift[[Rating]:[Rating]],0,0),T78)))</f>
        <v>M</v>
      </c>
      <c r="U147" t="str" cm="1">
        <f t="array" ref="U147">_xlfn.LET(_xlpm.Fin,_xlfn.XLOOKUP(N147,Exp_Shift[[Rating]:[Rating]],Exp_Shift[[Number]:[Number]],0,0),_xlpm.Init,_xlfn.XLOOKUP(N78,Exp_Shift[[Rating]:[Rating]],Exp_Shift[[Number]:[Number]],0,0),_xlpm.X,_xlfn.XLOOKUP(U78,Exp_Shift[[Rating]:[Rating]],Exp_Shift[[Number]:[Number]],0,0), IF(_xlpm.Fin-_xlpm.Init&gt;0, _xlfn.XLOOKUP(MIN(4,_xlpm.X+_xlpm.Fin-_xlpm.Init),Exp_Shift[[Number]:[Number]],Exp_Shift[[Rating]:[Rating]],0,0),IF(_xlpm.Fin-_xlpm.Init&lt;0,_xlfn.XLOOKUP(MAX(0,_xlpm.X-1),Exp_Shift[[Number]:[Number]],Exp_Shift[[Rating]:[Rating]],0,0),U78)))</f>
        <v>M</v>
      </c>
      <c r="V147" t="str" cm="1">
        <f t="array" ref="V147">_xlfn.LET(_xlpm.Fin,_xlfn.XLOOKUP(O147,Exp_Shift[[Rating]:[Rating]],Exp_Shift[[Number]:[Number]],0,0),_xlpm.Init,_xlfn.XLOOKUP(O78,Exp_Shift[[Rating]:[Rating]],Exp_Shift[[Number]:[Number]],0,0),_xlpm.X,_xlfn.XLOOKUP(V78,Exp_Shift[[Rating]:[Rating]],Exp_Shift[[Number]:[Number]],0,0), IF(_xlpm.Fin-_xlpm.Init&gt;0, _xlfn.XLOOKUP(MIN(4,_xlpm.X+_xlpm.Fin-_xlpm.Init),Exp_Shift[[Number]:[Number]],Exp_Shift[[Rating]:[Rating]],0,0),IF(_xlpm.Fin-_xlpm.Init&lt;0,_xlfn.XLOOKUP(MAX(0,_xlpm.X-1),Exp_Shift[[Number]:[Number]],Exp_Shift[[Rating]:[Rating]],0,0),V78)))</f>
        <v>H</v>
      </c>
      <c r="W147" t="str" cm="1">
        <f t="array" ref="W147">_xlfn.LET(_xlpm.Fin,_xlfn.XLOOKUP(P147,Exp_Shift[[Rating]:[Rating]],Exp_Shift[[Number]:[Number]],0,0),_xlpm.Init,_xlfn.XLOOKUP(P78,Exp_Shift[[Rating]:[Rating]],Exp_Shift[[Number]:[Number]],0,0),_xlpm.X,_xlfn.XLOOKUP(W78,Exp_Shift[[Rating]:[Rating]],Exp_Shift[[Number]:[Number]],0,0), IF(_xlpm.Fin-_xlpm.Init&gt;0, _xlfn.XLOOKUP(MIN(4,_xlpm.X+_xlpm.Fin-_xlpm.Init),Exp_Shift[[Number]:[Number]],Exp_Shift[[Rating]:[Rating]],0,0),IF(_xlpm.Fin-_xlpm.Init&lt;0,_xlfn.XLOOKUP(MAX(0,_xlpm.X-1),Exp_Shift[[Number]:[Number]],Exp_Shift[[Rating]:[Rating]],0,0),W78)))</f>
        <v>H</v>
      </c>
      <c r="X147" s="19" t="str" cm="1">
        <f t="array" ref="X147">_xlfn.LET(_xlpm.Fin,_xlfn.XLOOKUP(Q147,Exp_Shift[[Rating]:[Rating]],Exp_Shift[[Number]:[Number]],0,0),_xlpm.Init,_xlfn.XLOOKUP(Q78,Exp_Shift[[Rating]:[Rating]],Exp_Shift[[Number]:[Number]],0,0),_xlpm.X,_xlfn.XLOOKUP(X78,Exp_Shift[[Rating]:[Rating]],Exp_Shift[[Number]:[Number]],0,0), IF(_xlpm.Fin-_xlpm.Init&gt;0, _xlfn.XLOOKUP(MIN(4,_xlpm.X+_xlpm.Fin-_xlpm.Init),Exp_Shift[[Number]:[Number]],Exp_Shift[[Rating]:[Rating]],0,0),IF(_xlpm.Fin-_xlpm.Init&lt;0,_xlfn.XLOOKUP(MAX(0,_xlpm.X-1),Exp_Shift[[Number]:[Number]],Exp_Shift[[Rating]:[Rating]],0,0),X78)))</f>
        <v>M</v>
      </c>
      <c r="Y147" s="23" t="str" cm="1">
        <f t="array" ref="Y147">_xlfn.LET(_xlpm.Fin,_xlfn.XLOOKUP(K147,Exp_Shift[[Rating]:[Rating]],Exp_Shift[[Number]:[Number]],0,0),_xlpm.Init,_xlfn.XLOOKUP(K78,Exp_Shift[[Rating]:[Rating]],Exp_Shift[[Number]:[Number]],0,0),_xlpm.X,_xlfn.XLOOKUP(Y78,Exp_Shift[[Rating]:[Rating]],Exp_Shift[[Number]:[Number]],0,0), IF(_xlpm.Fin-_xlpm.Init&gt;0, _xlfn.XLOOKUP(MIN(4,_xlpm.X+1),Exp_Shift[[Number]:[Number]],Exp_Shift[[Rating]:[Rating]],0,0),IF(_xlpm.Fin-_xlpm.Init&lt;0,_xlfn.XLOOKUP(MAX(0,_xlpm.X),Exp_Shift[[Number]:[Number]],Exp_Shift[[Rating]:[Rating]],0,0),Y78)))</f>
        <v>H</v>
      </c>
      <c r="Z147" t="str" cm="1">
        <f t="array" ref="Z147">_xlfn.LET(_xlpm.Fin,_xlfn.XLOOKUP(L147,Exp_Shift[[Rating]:[Rating]],Exp_Shift[[Number]:[Number]],0,0),_xlpm.Init,_xlfn.XLOOKUP(L78,Exp_Shift[[Rating]:[Rating]],Exp_Shift[[Number]:[Number]],0,0),_xlpm.X,_xlfn.XLOOKUP(Z78,Exp_Shift[[Rating]:[Rating]],Exp_Shift[[Number]:[Number]],0,0), IF(_xlpm.Fin-_xlpm.Init&gt;0, _xlfn.XLOOKUP(MIN(4,_xlpm.X+1),Exp_Shift[[Number]:[Number]],Exp_Shift[[Rating]:[Rating]],0,0),IF(_xlpm.Fin-_xlpm.Init&lt;0,_xlfn.XLOOKUP(MAX(0,_xlpm.X),Exp_Shift[[Number]:[Number]],Exp_Shift[[Rating]:[Rating]],0,0),Z78)))</f>
        <v>E</v>
      </c>
      <c r="AA147" t="str" cm="1">
        <f t="array" ref="AA147">_xlfn.LET(_xlpm.Fin,_xlfn.XLOOKUP(M147,Exp_Shift[[Rating]:[Rating]],Exp_Shift[[Number]:[Number]],0,0),_xlpm.Init,_xlfn.XLOOKUP(M78,Exp_Shift[[Rating]:[Rating]],Exp_Shift[[Number]:[Number]],0,0),_xlpm.X,_xlfn.XLOOKUP(AA78,Exp_Shift[[Rating]:[Rating]],Exp_Shift[[Number]:[Number]],0,0), IF(_xlpm.Fin-_xlpm.Init&gt;0, _xlfn.XLOOKUP(MIN(4,_xlpm.X+1),Exp_Shift[[Number]:[Number]],Exp_Shift[[Rating]:[Rating]],0,0),IF(_xlpm.Fin-_xlpm.Init&lt;0,_xlfn.XLOOKUP(MAX(0,_xlpm.X),Exp_Shift[[Number]:[Number]],Exp_Shift[[Rating]:[Rating]],0,0),AA78)))</f>
        <v>E</v>
      </c>
      <c r="AB147" t="str" cm="1">
        <f t="array" ref="AB147">_xlfn.LET(_xlpm.Fin,_xlfn.XLOOKUP(N147,Exp_Shift[[Rating]:[Rating]],Exp_Shift[[Number]:[Number]],0,0),_xlpm.Init,_xlfn.XLOOKUP(N78,Exp_Shift[[Rating]:[Rating]],Exp_Shift[[Number]:[Number]],0,0),_xlpm.X,_xlfn.XLOOKUP(AB78,Exp_Shift[[Rating]:[Rating]],Exp_Shift[[Number]:[Number]],0,0), IF(_xlpm.Fin-_xlpm.Init&gt;0, _xlfn.XLOOKUP(MIN(4,_xlpm.X+1),Exp_Shift[[Number]:[Number]],Exp_Shift[[Rating]:[Rating]],0,0),IF(_xlpm.Fin-_xlpm.Init&lt;0,_xlfn.XLOOKUP(MAX(0,_xlpm.X),Exp_Shift[[Number]:[Number]],Exp_Shift[[Rating]:[Rating]],0,0),AB78)))</f>
        <v>E</v>
      </c>
      <c r="AC147" t="str" cm="1">
        <f t="array" ref="AC147">_xlfn.LET(_xlpm.Fin,_xlfn.XLOOKUP(O147,Exp_Shift[[Rating]:[Rating]],Exp_Shift[[Number]:[Number]],0,0),_xlpm.Init,_xlfn.XLOOKUP(O78,Exp_Shift[[Rating]:[Rating]],Exp_Shift[[Number]:[Number]],0,0),_xlpm.X,_xlfn.XLOOKUP(AC78,Exp_Shift[[Rating]:[Rating]],Exp_Shift[[Number]:[Number]],0,0), IF(_xlpm.Fin-_xlpm.Init&gt;0, _xlfn.XLOOKUP(MIN(4,_xlpm.X+1),Exp_Shift[[Number]:[Number]],Exp_Shift[[Rating]:[Rating]],0,0),IF(_xlpm.Fin-_xlpm.Init&lt;0,_xlfn.XLOOKUP(MAX(0,_xlpm.X),Exp_Shift[[Number]:[Number]],Exp_Shift[[Rating]:[Rating]],0,0),AC78)))</f>
        <v>L</v>
      </c>
      <c r="AD147" t="str" cm="1">
        <f t="array" ref="AD147">_xlfn.LET(_xlpm.Fin,_xlfn.XLOOKUP(P147,Exp_Shift[[Rating]:[Rating]],Exp_Shift[[Number]:[Number]],0,0),_xlpm.Init,_xlfn.XLOOKUP(P78,Exp_Shift[[Rating]:[Rating]],Exp_Shift[[Number]:[Number]],0,0),_xlpm.X,_xlfn.XLOOKUP(AD78,Exp_Shift[[Rating]:[Rating]],Exp_Shift[[Number]:[Number]],0,0), IF(_xlpm.Fin-_xlpm.Init&gt;0, _xlfn.XLOOKUP(MIN(4,_xlpm.X+1),Exp_Shift[[Number]:[Number]],Exp_Shift[[Rating]:[Rating]],0,0),IF(_xlpm.Fin-_xlpm.Init&lt;0,_xlfn.XLOOKUP(MAX(0,_xlpm.X),Exp_Shift[[Number]:[Number]],Exp_Shift[[Rating]:[Rating]],0,0),AD78)))</f>
        <v>L</v>
      </c>
      <c r="AE147" s="27" t="str" cm="1">
        <f t="array" ref="AE147">_xlfn.LET(_xlpm.Fin,_xlfn.XLOOKUP(Q147,Exp_Shift[[Rating]:[Rating]],Exp_Shift[[Number]:[Number]],0,0),_xlpm.Init,_xlfn.XLOOKUP(Q78,Exp_Shift[[Rating]:[Rating]],Exp_Shift[[Number]:[Number]],0,0),_xlpm.X,_xlfn.XLOOKUP(AE78,Exp_Shift[[Rating]:[Rating]],Exp_Shift[[Number]:[Number]],0,0), IF(_xlpm.Fin-_xlpm.Init&gt;0, _xlfn.XLOOKUP(MIN(4,_xlpm.X+1),Exp_Shift[[Number]:[Number]],Exp_Shift[[Rating]:[Rating]],0,0),IF(_xlpm.Fin-_xlpm.Init&lt;0,_xlfn.XLOOKUP(MAX(0,_xlpm.X),Exp_Shift[[Number]:[Number]],Exp_Shift[[Rating]:[Rating]],0,0),AE78)))</f>
        <v>E</v>
      </c>
    </row>
    <row r="148" spans="8:31" ht="18" x14ac:dyDescent="0.35">
      <c r="H148" s="26">
        <v>91</v>
      </c>
      <c r="I148" s="332" t="s">
        <v>46</v>
      </c>
      <c r="J148" s="328" t="s">
        <v>219</v>
      </c>
      <c r="K148" s="23" t="str" cm="1">
        <f t="array" ref="K148">_xlfn.SWITCH(K125,"N/A","L","L","M","M","H","H","E","E","N/A")</f>
        <v>N/A</v>
      </c>
      <c r="L148" t="str" cm="1">
        <f t="array" ref="L148">_xlfn.SWITCH(L125,"N/A","L","L","M","M","H","H","E","E","N/A")</f>
        <v>E</v>
      </c>
      <c r="M148" t="str" cm="1">
        <f t="array" ref="M148">_xlfn.SWITCH(M125,"N/A","L","L","M","M","H","H","E","E","N/A")</f>
        <v>N/A</v>
      </c>
      <c r="N148" t="str" cm="1">
        <f t="array" ref="N148">_xlfn.SWITCH(N125,"N/A","L","L","M","M","H","H","E","E","N/A")</f>
        <v>E</v>
      </c>
      <c r="O148" t="str" cm="1">
        <f t="array" ref="O148">_xlfn.SWITCH(O125,"N/A","L","L","M","M","H","H","E","E","N/A")</f>
        <v>N/A</v>
      </c>
      <c r="P148" t="str" cm="1">
        <f t="array" ref="P148">_xlfn.SWITCH(P125,"N/A","L","L","M","M","H","H","E","E","N/A")</f>
        <v>E</v>
      </c>
      <c r="Q148" s="19" t="str" cm="1">
        <f t="array" ref="Q148">_xlfn.SWITCH(Q125,"N/A","L","L","M","M","H","H","E","E","N/A")</f>
        <v>N/A</v>
      </c>
      <c r="R148" s="23" t="str" cm="1">
        <f t="array" ref="R148">_xlfn.LET(_xlpm.Fin,_xlfn.XLOOKUP(K148,Exp_Shift[[Rating]:[Rating]],Exp_Shift[[Number]:[Number]],0,0),_xlpm.Init,_xlfn.XLOOKUP(K79,Exp_Shift[[Rating]:[Rating]],Exp_Shift[[Number]:[Number]],0,0),_xlpm.X,_xlfn.XLOOKUP(R79,Exp_Shift[[Rating]:[Rating]],Exp_Shift[[Number]:[Number]],0,0), IF(_xlpm.Fin-_xlpm.Init&gt;0, _xlfn.XLOOKUP(MIN(4,_xlpm.X+_xlpm.Fin-_xlpm.Init),Exp_Shift[[Number]:[Number]],Exp_Shift[[Rating]:[Rating]],0,0),IF(_xlpm.Fin-_xlpm.Init&lt;0,_xlfn.XLOOKUP(MAX(0,_xlpm.X-1),Exp_Shift[[Number]:[Number]],Exp_Shift[[Rating]:[Rating]],0,0),R79)))</f>
        <v>M</v>
      </c>
      <c r="S148" t="str" cm="1">
        <f t="array" ref="S148">_xlfn.LET(_xlpm.Fin,_xlfn.XLOOKUP(L148,Exp_Shift[[Rating]:[Rating]],Exp_Shift[[Number]:[Number]],0,0),_xlpm.Init,_xlfn.XLOOKUP(L79,Exp_Shift[[Rating]:[Rating]],Exp_Shift[[Number]:[Number]],0,0),_xlpm.X,_xlfn.XLOOKUP(S79,Exp_Shift[[Rating]:[Rating]],Exp_Shift[[Number]:[Number]],0,0), IF(_xlpm.Fin-_xlpm.Init&gt;0, _xlfn.XLOOKUP(MIN(4,_xlpm.X+_xlpm.Fin-_xlpm.Init),Exp_Shift[[Number]:[Number]],Exp_Shift[[Rating]:[Rating]],0,0),IF(_xlpm.Fin-_xlpm.Init&lt;0,_xlfn.XLOOKUP(MAX(0,_xlpm.X-1),Exp_Shift[[Number]:[Number]],Exp_Shift[[Rating]:[Rating]],0,0),S79)))</f>
        <v>E</v>
      </c>
      <c r="T148" t="str" cm="1">
        <f t="array" ref="T148">_xlfn.LET(_xlpm.Fin,_xlfn.XLOOKUP(M148,Exp_Shift[[Rating]:[Rating]],Exp_Shift[[Number]:[Number]],0,0),_xlpm.Init,_xlfn.XLOOKUP(M79,Exp_Shift[[Rating]:[Rating]],Exp_Shift[[Number]:[Number]],0,0),_xlpm.X,_xlfn.XLOOKUP(T79,Exp_Shift[[Rating]:[Rating]],Exp_Shift[[Number]:[Number]],0,0), IF(_xlpm.Fin-_xlpm.Init&gt;0, _xlfn.XLOOKUP(MIN(4,_xlpm.X+_xlpm.Fin-_xlpm.Init),Exp_Shift[[Number]:[Number]],Exp_Shift[[Rating]:[Rating]],0,0),IF(_xlpm.Fin-_xlpm.Init&lt;0,_xlfn.XLOOKUP(MAX(0,_xlpm.X-1),Exp_Shift[[Number]:[Number]],Exp_Shift[[Rating]:[Rating]],0,0),T79)))</f>
        <v>M</v>
      </c>
      <c r="U148" t="str" cm="1">
        <f t="array" ref="U148">_xlfn.LET(_xlpm.Fin,_xlfn.XLOOKUP(N148,Exp_Shift[[Rating]:[Rating]],Exp_Shift[[Number]:[Number]],0,0),_xlpm.Init,_xlfn.XLOOKUP(N79,Exp_Shift[[Rating]:[Rating]],Exp_Shift[[Number]:[Number]],0,0),_xlpm.X,_xlfn.XLOOKUP(U79,Exp_Shift[[Rating]:[Rating]],Exp_Shift[[Number]:[Number]],0,0), IF(_xlpm.Fin-_xlpm.Init&gt;0, _xlfn.XLOOKUP(MIN(4,_xlpm.X+_xlpm.Fin-_xlpm.Init),Exp_Shift[[Number]:[Number]],Exp_Shift[[Rating]:[Rating]],0,0),IF(_xlpm.Fin-_xlpm.Init&lt;0,_xlfn.XLOOKUP(MAX(0,_xlpm.X-1),Exp_Shift[[Number]:[Number]],Exp_Shift[[Rating]:[Rating]],0,0),U79)))</f>
        <v>E</v>
      </c>
      <c r="V148" t="str" cm="1">
        <f t="array" ref="V148">_xlfn.LET(_xlpm.Fin,_xlfn.XLOOKUP(O148,Exp_Shift[[Rating]:[Rating]],Exp_Shift[[Number]:[Number]],0,0),_xlpm.Init,_xlfn.XLOOKUP(O79,Exp_Shift[[Rating]:[Rating]],Exp_Shift[[Number]:[Number]],0,0),_xlpm.X,_xlfn.XLOOKUP(V79,Exp_Shift[[Rating]:[Rating]],Exp_Shift[[Number]:[Number]],0,0), IF(_xlpm.Fin-_xlpm.Init&gt;0, _xlfn.XLOOKUP(MIN(4,_xlpm.X+_xlpm.Fin-_xlpm.Init),Exp_Shift[[Number]:[Number]],Exp_Shift[[Rating]:[Rating]],0,0),IF(_xlpm.Fin-_xlpm.Init&lt;0,_xlfn.XLOOKUP(MAX(0,_xlpm.X-1),Exp_Shift[[Number]:[Number]],Exp_Shift[[Rating]:[Rating]],0,0),V79)))</f>
        <v>M</v>
      </c>
      <c r="W148" t="str" cm="1">
        <f t="array" ref="W148">_xlfn.LET(_xlpm.Fin,_xlfn.XLOOKUP(P148,Exp_Shift[[Rating]:[Rating]],Exp_Shift[[Number]:[Number]],0,0),_xlpm.Init,_xlfn.XLOOKUP(P79,Exp_Shift[[Rating]:[Rating]],Exp_Shift[[Number]:[Number]],0,0),_xlpm.X,_xlfn.XLOOKUP(W79,Exp_Shift[[Rating]:[Rating]],Exp_Shift[[Number]:[Number]],0,0), IF(_xlpm.Fin-_xlpm.Init&gt;0, _xlfn.XLOOKUP(MIN(4,_xlpm.X+_xlpm.Fin-_xlpm.Init),Exp_Shift[[Number]:[Number]],Exp_Shift[[Rating]:[Rating]],0,0),IF(_xlpm.Fin-_xlpm.Init&lt;0,_xlfn.XLOOKUP(MAX(0,_xlpm.X-1),Exp_Shift[[Number]:[Number]],Exp_Shift[[Rating]:[Rating]],0,0),W79)))</f>
        <v>E</v>
      </c>
      <c r="X148" s="19" t="str" cm="1">
        <f t="array" ref="X148">_xlfn.LET(_xlpm.Fin,_xlfn.XLOOKUP(Q148,Exp_Shift[[Rating]:[Rating]],Exp_Shift[[Number]:[Number]],0,0),_xlpm.Init,_xlfn.XLOOKUP(Q79,Exp_Shift[[Rating]:[Rating]],Exp_Shift[[Number]:[Number]],0,0),_xlpm.X,_xlfn.XLOOKUP(X79,Exp_Shift[[Rating]:[Rating]],Exp_Shift[[Number]:[Number]],0,0), IF(_xlpm.Fin-_xlpm.Init&gt;0, _xlfn.XLOOKUP(MIN(4,_xlpm.X+_xlpm.Fin-_xlpm.Init),Exp_Shift[[Number]:[Number]],Exp_Shift[[Rating]:[Rating]],0,0),IF(_xlpm.Fin-_xlpm.Init&lt;0,_xlfn.XLOOKUP(MAX(0,_xlpm.X-1),Exp_Shift[[Number]:[Number]],Exp_Shift[[Rating]:[Rating]],0,0),X79)))</f>
        <v>M</v>
      </c>
      <c r="Y148" s="23" t="str" cm="1">
        <f t="array" ref="Y148">_xlfn.LET(_xlpm.Fin,_xlfn.XLOOKUP(K148,Exp_Shift[[Rating]:[Rating]],Exp_Shift[[Number]:[Number]],0,0),_xlpm.Init,_xlfn.XLOOKUP(K79,Exp_Shift[[Rating]:[Rating]],Exp_Shift[[Number]:[Number]],0,0),_xlpm.X,_xlfn.XLOOKUP(Y79,Exp_Shift[[Rating]:[Rating]],Exp_Shift[[Number]:[Number]],0,0), IF(_xlpm.Fin-_xlpm.Init&gt;0, _xlfn.XLOOKUP(MIN(4,_xlpm.X+1),Exp_Shift[[Number]:[Number]],Exp_Shift[[Rating]:[Rating]],0,0),IF(_xlpm.Fin-_xlpm.Init&lt;0,_xlfn.XLOOKUP(MAX(0,_xlpm.X),Exp_Shift[[Number]:[Number]],Exp_Shift[[Rating]:[Rating]],0,0),Y79)))</f>
        <v>H</v>
      </c>
      <c r="Z148" t="str" cm="1">
        <f t="array" ref="Z148">_xlfn.LET(_xlpm.Fin,_xlfn.XLOOKUP(L148,Exp_Shift[[Rating]:[Rating]],Exp_Shift[[Number]:[Number]],0,0),_xlpm.Init,_xlfn.XLOOKUP(L79,Exp_Shift[[Rating]:[Rating]],Exp_Shift[[Number]:[Number]],0,0),_xlpm.X,_xlfn.XLOOKUP(Z79,Exp_Shift[[Rating]:[Rating]],Exp_Shift[[Number]:[Number]],0,0), IF(_xlpm.Fin-_xlpm.Init&gt;0, _xlfn.XLOOKUP(MIN(4,_xlpm.X+1),Exp_Shift[[Number]:[Number]],Exp_Shift[[Rating]:[Rating]],0,0),IF(_xlpm.Fin-_xlpm.Init&lt;0,_xlfn.XLOOKUP(MAX(0,_xlpm.X),Exp_Shift[[Number]:[Number]],Exp_Shift[[Rating]:[Rating]],0,0),Z79)))</f>
        <v>E</v>
      </c>
      <c r="AA148" t="str" cm="1">
        <f t="array" ref="AA148">_xlfn.LET(_xlpm.Fin,_xlfn.XLOOKUP(M148,Exp_Shift[[Rating]:[Rating]],Exp_Shift[[Number]:[Number]],0,0),_xlpm.Init,_xlfn.XLOOKUP(M79,Exp_Shift[[Rating]:[Rating]],Exp_Shift[[Number]:[Number]],0,0),_xlpm.X,_xlfn.XLOOKUP(AA79,Exp_Shift[[Rating]:[Rating]],Exp_Shift[[Number]:[Number]],0,0), IF(_xlpm.Fin-_xlpm.Init&gt;0, _xlfn.XLOOKUP(MIN(4,_xlpm.X+1),Exp_Shift[[Number]:[Number]],Exp_Shift[[Rating]:[Rating]],0,0),IF(_xlpm.Fin-_xlpm.Init&lt;0,_xlfn.XLOOKUP(MAX(0,_xlpm.X),Exp_Shift[[Number]:[Number]],Exp_Shift[[Rating]:[Rating]],0,0),AA79)))</f>
        <v>E</v>
      </c>
      <c r="AB148" t="str" cm="1">
        <f t="array" ref="AB148">_xlfn.LET(_xlpm.Fin,_xlfn.XLOOKUP(N148,Exp_Shift[[Rating]:[Rating]],Exp_Shift[[Number]:[Number]],0,0),_xlpm.Init,_xlfn.XLOOKUP(N79,Exp_Shift[[Rating]:[Rating]],Exp_Shift[[Number]:[Number]],0,0),_xlpm.X,_xlfn.XLOOKUP(AB79,Exp_Shift[[Rating]:[Rating]],Exp_Shift[[Number]:[Number]],0,0), IF(_xlpm.Fin-_xlpm.Init&gt;0, _xlfn.XLOOKUP(MIN(4,_xlpm.X+1),Exp_Shift[[Number]:[Number]],Exp_Shift[[Rating]:[Rating]],0,0),IF(_xlpm.Fin-_xlpm.Init&lt;0,_xlfn.XLOOKUP(MAX(0,_xlpm.X),Exp_Shift[[Number]:[Number]],Exp_Shift[[Rating]:[Rating]],0,0),AB79)))</f>
        <v>E</v>
      </c>
      <c r="AC148" t="str" cm="1">
        <f t="array" ref="AC148">_xlfn.LET(_xlpm.Fin,_xlfn.XLOOKUP(O148,Exp_Shift[[Rating]:[Rating]],Exp_Shift[[Number]:[Number]],0,0),_xlpm.Init,_xlfn.XLOOKUP(O79,Exp_Shift[[Rating]:[Rating]],Exp_Shift[[Number]:[Number]],0,0),_xlpm.X,_xlfn.XLOOKUP(AC79,Exp_Shift[[Rating]:[Rating]],Exp_Shift[[Number]:[Number]],0,0), IF(_xlpm.Fin-_xlpm.Init&gt;0, _xlfn.XLOOKUP(MIN(4,_xlpm.X+1),Exp_Shift[[Number]:[Number]],Exp_Shift[[Rating]:[Rating]],0,0),IF(_xlpm.Fin-_xlpm.Init&lt;0,_xlfn.XLOOKUP(MAX(0,_xlpm.X),Exp_Shift[[Number]:[Number]],Exp_Shift[[Rating]:[Rating]],0,0),AC79)))</f>
        <v>E</v>
      </c>
      <c r="AD148" t="str" cm="1">
        <f t="array" ref="AD148">_xlfn.LET(_xlpm.Fin,_xlfn.XLOOKUP(P148,Exp_Shift[[Rating]:[Rating]],Exp_Shift[[Number]:[Number]],0,0),_xlpm.Init,_xlfn.XLOOKUP(P79,Exp_Shift[[Rating]:[Rating]],Exp_Shift[[Number]:[Number]],0,0),_xlpm.X,_xlfn.XLOOKUP(AD79,Exp_Shift[[Rating]:[Rating]],Exp_Shift[[Number]:[Number]],0,0), IF(_xlpm.Fin-_xlpm.Init&gt;0, _xlfn.XLOOKUP(MIN(4,_xlpm.X+1),Exp_Shift[[Number]:[Number]],Exp_Shift[[Rating]:[Rating]],0,0),IF(_xlpm.Fin-_xlpm.Init&lt;0,_xlfn.XLOOKUP(MAX(0,_xlpm.X),Exp_Shift[[Number]:[Number]],Exp_Shift[[Rating]:[Rating]],0,0),AD79)))</f>
        <v>E</v>
      </c>
      <c r="AE148" s="27" t="str" cm="1">
        <f t="array" ref="AE148">_xlfn.LET(_xlpm.Fin,_xlfn.XLOOKUP(Q148,Exp_Shift[[Rating]:[Rating]],Exp_Shift[[Number]:[Number]],0,0),_xlpm.Init,_xlfn.XLOOKUP(Q79,Exp_Shift[[Rating]:[Rating]],Exp_Shift[[Number]:[Number]],0,0),_xlpm.X,_xlfn.XLOOKUP(AE79,Exp_Shift[[Rating]:[Rating]],Exp_Shift[[Number]:[Number]],0,0), IF(_xlpm.Fin-_xlpm.Init&gt;0, _xlfn.XLOOKUP(MIN(4,_xlpm.X+1),Exp_Shift[[Number]:[Number]],Exp_Shift[[Rating]:[Rating]],0,0),IF(_xlpm.Fin-_xlpm.Init&lt;0,_xlfn.XLOOKUP(MAX(0,_xlpm.X),Exp_Shift[[Number]:[Number]],Exp_Shift[[Rating]:[Rating]],0,0),AE79)))</f>
        <v>E</v>
      </c>
    </row>
    <row r="149" spans="8:31" ht="18.5" thickBot="1" x14ac:dyDescent="0.4">
      <c r="H149" s="26">
        <v>92</v>
      </c>
      <c r="I149" s="334" t="s">
        <v>46</v>
      </c>
      <c r="J149" s="335" t="s">
        <v>217</v>
      </c>
      <c r="K149" s="23" t="str" cm="1">
        <f t="array" ref="K149">_xlfn.SWITCH(K126,"N/A","L","L","M","M","H","H","E","E","N/A")</f>
        <v>E</v>
      </c>
      <c r="L149" t="str" cm="1">
        <f t="array" ref="L149">_xlfn.SWITCH(L126,"N/A","L","L","M","M","H","H","E","E","N/A")</f>
        <v>L</v>
      </c>
      <c r="M149" t="str" cm="1">
        <f t="array" ref="M149">_xlfn.SWITCH(M126,"N/A","L","L","M","M","H","H","E","E","N/A")</f>
        <v>N/A</v>
      </c>
      <c r="N149" t="str" cm="1">
        <f t="array" ref="N149">_xlfn.SWITCH(N126,"N/A","L","L","M","M","H","H","E","E","N/A")</f>
        <v>N/A</v>
      </c>
      <c r="O149" t="str" cm="1">
        <f t="array" ref="O149">_xlfn.SWITCH(O126,"N/A","L","L","M","M","H","H","E","E","N/A")</f>
        <v>H</v>
      </c>
      <c r="P149" t="str" cm="1">
        <f t="array" ref="P149">_xlfn.SWITCH(P126,"N/A","L","L","M","M","H","H","E","E","N/A")</f>
        <v>E</v>
      </c>
      <c r="Q149" s="19" t="str" cm="1">
        <f t="array" ref="Q149">_xlfn.SWITCH(Q126,"N/A","L","L","M","M","H","H","E","E","N/A")</f>
        <v>N/A</v>
      </c>
      <c r="R149" s="23" t="str" cm="1">
        <f t="array" ref="R149">_xlfn.LET(_xlpm.Fin,_xlfn.XLOOKUP(K149,Exp_Shift[[Rating]:[Rating]],Exp_Shift[[Number]:[Number]],0,0),_xlpm.Init,_xlfn.XLOOKUP(K80,Exp_Shift[[Rating]:[Rating]],Exp_Shift[[Number]:[Number]],0,0),_xlpm.X,_xlfn.XLOOKUP(R80,Exp_Shift[[Rating]:[Rating]],Exp_Shift[[Number]:[Number]],0,0), IF(_xlpm.Fin-_xlpm.Init&gt;0, _xlfn.XLOOKUP(MIN(4,_xlpm.X+_xlpm.Fin-_xlpm.Init),Exp_Shift[[Number]:[Number]],Exp_Shift[[Rating]:[Rating]],0,0),IF(_xlpm.Fin-_xlpm.Init&lt;0,_xlfn.XLOOKUP(MAX(0,_xlpm.X-1),Exp_Shift[[Number]:[Number]],Exp_Shift[[Rating]:[Rating]],0,0),R80)))</f>
        <v>E</v>
      </c>
      <c r="S149" t="str" cm="1">
        <f t="array" ref="S149">_xlfn.LET(_xlpm.Fin,_xlfn.XLOOKUP(L149,Exp_Shift[[Rating]:[Rating]],Exp_Shift[[Number]:[Number]],0,0),_xlpm.Init,_xlfn.XLOOKUP(L80,Exp_Shift[[Rating]:[Rating]],Exp_Shift[[Number]:[Number]],0,0),_xlpm.X,_xlfn.XLOOKUP(S80,Exp_Shift[[Rating]:[Rating]],Exp_Shift[[Number]:[Number]],0,0), IF(_xlpm.Fin-_xlpm.Init&gt;0, _xlfn.XLOOKUP(MIN(4,_xlpm.X+_xlpm.Fin-_xlpm.Init),Exp_Shift[[Number]:[Number]],Exp_Shift[[Rating]:[Rating]],0,0),IF(_xlpm.Fin-_xlpm.Init&lt;0,_xlfn.XLOOKUP(MAX(0,_xlpm.X-1),Exp_Shift[[Number]:[Number]],Exp_Shift[[Rating]:[Rating]],0,0),S80)))</f>
        <v>M</v>
      </c>
      <c r="T149" t="str" cm="1">
        <f t="array" ref="T149">_xlfn.LET(_xlpm.Fin,_xlfn.XLOOKUP(M149,Exp_Shift[[Rating]:[Rating]],Exp_Shift[[Number]:[Number]],0,0),_xlpm.Init,_xlfn.XLOOKUP(M80,Exp_Shift[[Rating]:[Rating]],Exp_Shift[[Number]:[Number]],0,0),_xlpm.X,_xlfn.XLOOKUP(T80,Exp_Shift[[Rating]:[Rating]],Exp_Shift[[Number]:[Number]],0,0), IF(_xlpm.Fin-_xlpm.Init&gt;0, _xlfn.XLOOKUP(MIN(4,_xlpm.X+_xlpm.Fin-_xlpm.Init),Exp_Shift[[Number]:[Number]],Exp_Shift[[Rating]:[Rating]],0,0),IF(_xlpm.Fin-_xlpm.Init&lt;0,_xlfn.XLOOKUP(MAX(0,_xlpm.X-1),Exp_Shift[[Number]:[Number]],Exp_Shift[[Rating]:[Rating]],0,0),T80)))</f>
        <v>M</v>
      </c>
      <c r="U149" t="str" cm="1">
        <f t="array" ref="U149">_xlfn.LET(_xlpm.Fin,_xlfn.XLOOKUP(N149,Exp_Shift[[Rating]:[Rating]],Exp_Shift[[Number]:[Number]],0,0),_xlpm.Init,_xlfn.XLOOKUP(N80,Exp_Shift[[Rating]:[Rating]],Exp_Shift[[Number]:[Number]],0,0),_xlpm.X,_xlfn.XLOOKUP(U80,Exp_Shift[[Rating]:[Rating]],Exp_Shift[[Number]:[Number]],0,0), IF(_xlpm.Fin-_xlpm.Init&gt;0, _xlfn.XLOOKUP(MIN(4,_xlpm.X+_xlpm.Fin-_xlpm.Init),Exp_Shift[[Number]:[Number]],Exp_Shift[[Rating]:[Rating]],0,0),IF(_xlpm.Fin-_xlpm.Init&lt;0,_xlfn.XLOOKUP(MAX(0,_xlpm.X-1),Exp_Shift[[Number]:[Number]],Exp_Shift[[Rating]:[Rating]],0,0),U80)))</f>
        <v>M</v>
      </c>
      <c r="V149" t="str" cm="1">
        <f t="array" ref="V149">_xlfn.LET(_xlpm.Fin,_xlfn.XLOOKUP(O149,Exp_Shift[[Rating]:[Rating]],Exp_Shift[[Number]:[Number]],0,0),_xlpm.Init,_xlfn.XLOOKUP(O80,Exp_Shift[[Rating]:[Rating]],Exp_Shift[[Number]:[Number]],0,0),_xlpm.X,_xlfn.XLOOKUP(V80,Exp_Shift[[Rating]:[Rating]],Exp_Shift[[Number]:[Number]],0,0), IF(_xlpm.Fin-_xlpm.Init&gt;0, _xlfn.XLOOKUP(MIN(4,_xlpm.X+_xlpm.Fin-_xlpm.Init),Exp_Shift[[Number]:[Number]],Exp_Shift[[Rating]:[Rating]],0,0),IF(_xlpm.Fin-_xlpm.Init&lt;0,_xlfn.XLOOKUP(MAX(0,_xlpm.X-1),Exp_Shift[[Number]:[Number]],Exp_Shift[[Rating]:[Rating]],0,0),V80)))</f>
        <v>H</v>
      </c>
      <c r="W149" t="str" cm="1">
        <f t="array" ref="W149">_xlfn.LET(_xlpm.Fin,_xlfn.XLOOKUP(P149,Exp_Shift[[Rating]:[Rating]],Exp_Shift[[Number]:[Number]],0,0),_xlpm.Init,_xlfn.XLOOKUP(P80,Exp_Shift[[Rating]:[Rating]],Exp_Shift[[Number]:[Number]],0,0),_xlpm.X,_xlfn.XLOOKUP(W80,Exp_Shift[[Rating]:[Rating]],Exp_Shift[[Number]:[Number]],0,0), IF(_xlpm.Fin-_xlpm.Init&gt;0, _xlfn.XLOOKUP(MIN(4,_xlpm.X+_xlpm.Fin-_xlpm.Init),Exp_Shift[[Number]:[Number]],Exp_Shift[[Rating]:[Rating]],0,0),IF(_xlpm.Fin-_xlpm.Init&lt;0,_xlfn.XLOOKUP(MAX(0,_xlpm.X-1),Exp_Shift[[Number]:[Number]],Exp_Shift[[Rating]:[Rating]],0,0),W80)))</f>
        <v>E</v>
      </c>
      <c r="X149" s="19" t="str" cm="1">
        <f t="array" ref="X149">_xlfn.LET(_xlpm.Fin,_xlfn.XLOOKUP(Q149,Exp_Shift[[Rating]:[Rating]],Exp_Shift[[Number]:[Number]],0,0),_xlpm.Init,_xlfn.XLOOKUP(Q80,Exp_Shift[[Rating]:[Rating]],Exp_Shift[[Number]:[Number]],0,0),_xlpm.X,_xlfn.XLOOKUP(X80,Exp_Shift[[Rating]:[Rating]],Exp_Shift[[Number]:[Number]],0,0), IF(_xlpm.Fin-_xlpm.Init&gt;0, _xlfn.XLOOKUP(MIN(4,_xlpm.X+_xlpm.Fin-_xlpm.Init),Exp_Shift[[Number]:[Number]],Exp_Shift[[Rating]:[Rating]],0,0),IF(_xlpm.Fin-_xlpm.Init&lt;0,_xlfn.XLOOKUP(MAX(0,_xlpm.X-1),Exp_Shift[[Number]:[Number]],Exp_Shift[[Rating]:[Rating]],0,0),X80)))</f>
        <v>M</v>
      </c>
      <c r="Y149" s="227" t="str" cm="1">
        <f t="array" ref="Y149">_xlfn.LET(_xlpm.Fin,_xlfn.XLOOKUP(K149,Exp_Shift[[Rating]:[Rating]],Exp_Shift[[Number]:[Number]],0,0),_xlpm.Init,_xlfn.XLOOKUP(K80,Exp_Shift[[Rating]:[Rating]],Exp_Shift[[Number]:[Number]],0,0),_xlpm.X,_xlfn.XLOOKUP(Y80,Exp_Shift[[Rating]:[Rating]],Exp_Shift[[Number]:[Number]],0,0), IF(_xlpm.Fin-_xlpm.Init&gt;0, _xlfn.XLOOKUP(MIN(4,_xlpm.X+1),Exp_Shift[[Number]:[Number]],Exp_Shift[[Rating]:[Rating]],0,0),IF(_xlpm.Fin-_xlpm.Init&lt;0,_xlfn.XLOOKUP(MAX(0,_xlpm.X),Exp_Shift[[Number]:[Number]],Exp_Shift[[Rating]:[Rating]],0,0),Y80)))</f>
        <v>E</v>
      </c>
      <c r="Z149" s="10" t="str" cm="1">
        <f t="array" ref="Z149">_xlfn.LET(_xlpm.Fin,_xlfn.XLOOKUP(L149,Exp_Shift[[Rating]:[Rating]],Exp_Shift[[Number]:[Number]],0,0),_xlpm.Init,_xlfn.XLOOKUP(L80,Exp_Shift[[Rating]:[Rating]],Exp_Shift[[Number]:[Number]],0,0),_xlpm.X,_xlfn.XLOOKUP(Z80,Exp_Shift[[Rating]:[Rating]],Exp_Shift[[Number]:[Number]],0,0), IF(_xlpm.Fin-_xlpm.Init&gt;0, _xlfn.XLOOKUP(MIN(4,_xlpm.X+1),Exp_Shift[[Number]:[Number]],Exp_Shift[[Rating]:[Rating]],0,0),IF(_xlpm.Fin-_xlpm.Init&lt;0,_xlfn.XLOOKUP(MAX(0,_xlpm.X),Exp_Shift[[Number]:[Number]],Exp_Shift[[Rating]:[Rating]],0,0),Z80)))</f>
        <v>H</v>
      </c>
      <c r="AA149" s="10" t="str" cm="1">
        <f t="array" ref="AA149">_xlfn.LET(_xlpm.Fin,_xlfn.XLOOKUP(M149,Exp_Shift[[Rating]:[Rating]],Exp_Shift[[Number]:[Number]],0,0),_xlpm.Init,_xlfn.XLOOKUP(M80,Exp_Shift[[Rating]:[Rating]],Exp_Shift[[Number]:[Number]],0,0),_xlpm.X,_xlfn.XLOOKUP(AA80,Exp_Shift[[Rating]:[Rating]],Exp_Shift[[Number]:[Number]],0,0), IF(_xlpm.Fin-_xlpm.Init&gt;0, _xlfn.XLOOKUP(MIN(4,_xlpm.X+1),Exp_Shift[[Number]:[Number]],Exp_Shift[[Rating]:[Rating]],0,0),IF(_xlpm.Fin-_xlpm.Init&lt;0,_xlfn.XLOOKUP(MAX(0,_xlpm.X),Exp_Shift[[Number]:[Number]],Exp_Shift[[Rating]:[Rating]],0,0),AA80)))</f>
        <v>E</v>
      </c>
      <c r="AB149" s="10" t="str" cm="1">
        <f t="array" ref="AB149">_xlfn.LET(_xlpm.Fin,_xlfn.XLOOKUP(N149,Exp_Shift[[Rating]:[Rating]],Exp_Shift[[Number]:[Number]],0,0),_xlpm.Init,_xlfn.XLOOKUP(N80,Exp_Shift[[Rating]:[Rating]],Exp_Shift[[Number]:[Number]],0,0),_xlpm.X,_xlfn.XLOOKUP(AB80,Exp_Shift[[Rating]:[Rating]],Exp_Shift[[Number]:[Number]],0,0), IF(_xlpm.Fin-_xlpm.Init&gt;0, _xlfn.XLOOKUP(MIN(4,_xlpm.X+1),Exp_Shift[[Number]:[Number]],Exp_Shift[[Rating]:[Rating]],0,0),IF(_xlpm.Fin-_xlpm.Init&lt;0,_xlfn.XLOOKUP(MAX(0,_xlpm.X),Exp_Shift[[Number]:[Number]],Exp_Shift[[Rating]:[Rating]],0,0),AB80)))</f>
        <v>H</v>
      </c>
      <c r="AC149" s="10" t="str" cm="1">
        <f t="array" ref="AC149">_xlfn.LET(_xlpm.Fin,_xlfn.XLOOKUP(O149,Exp_Shift[[Rating]:[Rating]],Exp_Shift[[Number]:[Number]],0,0),_xlpm.Init,_xlfn.XLOOKUP(O80,Exp_Shift[[Rating]:[Rating]],Exp_Shift[[Number]:[Number]],0,0),_xlpm.X,_xlfn.XLOOKUP(AC80,Exp_Shift[[Rating]:[Rating]],Exp_Shift[[Number]:[Number]],0,0), IF(_xlpm.Fin-_xlpm.Init&gt;0, _xlfn.XLOOKUP(MIN(4,_xlpm.X+1),Exp_Shift[[Number]:[Number]],Exp_Shift[[Rating]:[Rating]],0,0),IF(_xlpm.Fin-_xlpm.Init&lt;0,_xlfn.XLOOKUP(MAX(0,_xlpm.X),Exp_Shift[[Number]:[Number]],Exp_Shift[[Rating]:[Rating]],0,0),AC80)))</f>
        <v>L</v>
      </c>
      <c r="AD149" s="10" t="str" cm="1">
        <f t="array" ref="AD149">_xlfn.LET(_xlpm.Fin,_xlfn.XLOOKUP(P149,Exp_Shift[[Rating]:[Rating]],Exp_Shift[[Number]:[Number]],0,0),_xlpm.Init,_xlfn.XLOOKUP(P80,Exp_Shift[[Rating]:[Rating]],Exp_Shift[[Number]:[Number]],0,0),_xlpm.X,_xlfn.XLOOKUP(AD80,Exp_Shift[[Rating]:[Rating]],Exp_Shift[[Number]:[Number]],0,0), IF(_xlpm.Fin-_xlpm.Init&gt;0, _xlfn.XLOOKUP(MIN(4,_xlpm.X+1),Exp_Shift[[Number]:[Number]],Exp_Shift[[Rating]:[Rating]],0,0),IF(_xlpm.Fin-_xlpm.Init&lt;0,_xlfn.XLOOKUP(MAX(0,_xlpm.X),Exp_Shift[[Number]:[Number]],Exp_Shift[[Rating]:[Rating]],0,0),AD80)))</f>
        <v>E</v>
      </c>
      <c r="AE149" s="12" t="str" cm="1">
        <f t="array" ref="AE149">_xlfn.LET(_xlpm.Fin,_xlfn.XLOOKUP(Q149,Exp_Shift[[Rating]:[Rating]],Exp_Shift[[Number]:[Number]],0,0),_xlpm.Init,_xlfn.XLOOKUP(Q80,Exp_Shift[[Rating]:[Rating]],Exp_Shift[[Number]:[Number]],0,0),_xlpm.X,_xlfn.XLOOKUP(AE80,Exp_Shift[[Rating]:[Rating]],Exp_Shift[[Number]:[Number]],0,0), IF(_xlpm.Fin-_xlpm.Init&gt;0, _xlfn.XLOOKUP(MIN(4,_xlpm.X+1),Exp_Shift[[Number]:[Number]],Exp_Shift[[Rating]:[Rating]],0,0),IF(_xlpm.Fin-_xlpm.Init&lt;0,_xlfn.XLOOKUP(MAX(0,_xlpm.X),Exp_Shift[[Number]:[Number]],Exp_Shift[[Rating]:[Rating]],0,0),AE80)))</f>
        <v>E</v>
      </c>
    </row>
    <row r="150" spans="8:31" ht="18" x14ac:dyDescent="0.35">
      <c r="H150" s="99">
        <v>93</v>
      </c>
      <c r="I150" s="336" t="s">
        <v>111</v>
      </c>
      <c r="J150" s="337" t="s">
        <v>112</v>
      </c>
      <c r="K150" s="338" t="str" cm="1">
        <f t="array" ref="K150">_xlfn.SWITCH(K127,"N/A","L","L","M","M","H","H","E","E","N/A")</f>
        <v>L</v>
      </c>
      <c r="L150" s="100" t="str" cm="1">
        <f t="array" ref="L150">_xlfn.SWITCH(L127,"N/A","L","L","M","M","H","H","E","E","N/A")</f>
        <v>N/A</v>
      </c>
      <c r="M150" s="100" t="str" cm="1">
        <f t="array" ref="M150">_xlfn.SWITCH(M127,"N/A","L","L","M","M","H","H","E","E","N/A")</f>
        <v>M</v>
      </c>
      <c r="N150" s="100" t="str" cm="1">
        <f t="array" ref="N150">_xlfn.SWITCH(N127,"N/A","L","L","M","M","H","H","E","E","N/A")</f>
        <v>N/A</v>
      </c>
      <c r="O150" s="100" t="str" cm="1">
        <f t="array" ref="O150">_xlfn.SWITCH(O127,"N/A","L","L","M","M","H","H","E","E","N/A")</f>
        <v>M</v>
      </c>
      <c r="P150" s="100" t="str" cm="1">
        <f t="array" ref="P150">_xlfn.SWITCH(P127,"N/A","L","L","M","M","H","H","E","E","N/A")</f>
        <v>M</v>
      </c>
      <c r="Q150" s="339" t="str" cm="1">
        <f t="array" ref="Q150">_xlfn.SWITCH(Q127,"N/A","L","L","M","M","H","H","E","E","N/A")</f>
        <v>M</v>
      </c>
      <c r="R150" s="338" t="str" cm="1">
        <f t="array" ref="R150">_xlfn.LET(_xlpm.Fin,_xlfn.XLOOKUP(K150,Exp_Shift[Rating],Exp_Shift[Number],0,0),_xlpm.Init,_xlfn.XLOOKUP(K58,Exp_Shift[Rating],Exp_Shift[Number],0,0),_xlpm.X,_xlfn.XLOOKUP(R58,Exp_Shift[Rating],Exp_Shift[Number],0,0), IF(_xlpm.Fin-_xlpm.Init&gt;0, _xlfn.XLOOKUP(MIN(4,_xlpm.X+_xlpm.Fin-_xlpm.Init),Exp_Shift[Number],Exp_Shift[Rating],0,0),IF(_xlpm.Fin-_xlpm.Init&lt;0,_xlfn.XLOOKUP(MAX(0,_xlpm.X-1),Exp_Shift[Number],Exp_Shift[Rating],0,0),R58)))</f>
        <v>M</v>
      </c>
      <c r="S150" s="100" t="str" cm="1">
        <f t="array" ref="S150">_xlfn.LET(_xlpm.Fin,_xlfn.XLOOKUP(L150,Exp_Shift[Rating],Exp_Shift[Number],0,0),_xlpm.Init,_xlfn.XLOOKUP(L58,Exp_Shift[Rating],Exp_Shift[Number],0,0),_xlpm.X,_xlfn.XLOOKUP(S58,Exp_Shift[Rating],Exp_Shift[Number],0,0), IF(_xlpm.Fin-_xlpm.Init&gt;0, _xlfn.XLOOKUP(MIN(4,_xlpm.X+_xlpm.Fin-_xlpm.Init),Exp_Shift[Number],Exp_Shift[Rating],0,0),IF(_xlpm.Fin-_xlpm.Init&lt;0,_xlfn.XLOOKUP(MAX(0,_xlpm.X-1),Exp_Shift[Number],Exp_Shift[Rating],0,0),S58)))</f>
        <v>N/A</v>
      </c>
      <c r="T150" s="100" t="str" cm="1">
        <f t="array" ref="T150">_xlfn.LET(_xlpm.Fin,_xlfn.XLOOKUP(M150,Exp_Shift[Rating],Exp_Shift[Number],0,0),_xlpm.Init,_xlfn.XLOOKUP(M58,Exp_Shift[Rating],Exp_Shift[Number],0,0),_xlpm.X,_xlfn.XLOOKUP(T58,Exp_Shift[Rating],Exp_Shift[Number],0,0), IF(_xlpm.Fin-_xlpm.Init&gt;0, _xlfn.XLOOKUP(MIN(4,_xlpm.X+_xlpm.Fin-_xlpm.Init),Exp_Shift[Number],Exp_Shift[Rating],0,0),IF(_xlpm.Fin-_xlpm.Init&lt;0,_xlfn.XLOOKUP(MAX(0,_xlpm.X-1),Exp_Shift[Number],Exp_Shift[Rating],0,0),T58)))</f>
        <v>H</v>
      </c>
      <c r="U150" s="100" t="str" cm="1">
        <f t="array" ref="U150">_xlfn.LET(_xlpm.Fin,_xlfn.XLOOKUP(N150,Exp_Shift[Rating],Exp_Shift[Number],0,0),_xlpm.Init,_xlfn.XLOOKUP(N58,Exp_Shift[Rating],Exp_Shift[Number],0,0),_xlpm.X,_xlfn.XLOOKUP(U58,Exp_Shift[Rating],Exp_Shift[Number],0,0), IF(_xlpm.Fin-_xlpm.Init&gt;0, _xlfn.XLOOKUP(MIN(4,_xlpm.X+_xlpm.Fin-_xlpm.Init),Exp_Shift[Number],Exp_Shift[Rating],0,0),IF(_xlpm.Fin-_xlpm.Init&lt;0,_xlfn.XLOOKUP(MAX(0,_xlpm.X-1),Exp_Shift[Number],Exp_Shift[Rating],0,0),U58)))</f>
        <v>N/A</v>
      </c>
      <c r="V150" s="100" t="str" cm="1">
        <f t="array" ref="V150">_xlfn.LET(_xlpm.Fin,_xlfn.XLOOKUP(O150,Exp_Shift[Rating],Exp_Shift[Number],0,0),_xlpm.Init,_xlfn.XLOOKUP(O58,Exp_Shift[Rating],Exp_Shift[Number],0,0),_xlpm.X,_xlfn.XLOOKUP(V58,Exp_Shift[Rating],Exp_Shift[Number],0,0), IF(_xlpm.Fin-_xlpm.Init&gt;0, _xlfn.XLOOKUP(MIN(4,_xlpm.X+_xlpm.Fin-_xlpm.Init),Exp_Shift[Number],Exp_Shift[Rating],0,0),IF(_xlpm.Fin-_xlpm.Init&lt;0,_xlfn.XLOOKUP(MAX(0,_xlpm.X-1),Exp_Shift[Number],Exp_Shift[Rating],0,0),V58)))</f>
        <v>H</v>
      </c>
      <c r="W150" s="100" t="str" cm="1">
        <f t="array" ref="W150">_xlfn.LET(_xlpm.Fin,_xlfn.XLOOKUP(P150,Exp_Shift[Rating],Exp_Shift[Number],0,0),_xlpm.Init,_xlfn.XLOOKUP(P58,Exp_Shift[Rating],Exp_Shift[Number],0,0),_xlpm.X,_xlfn.XLOOKUP(W58,Exp_Shift[Rating],Exp_Shift[Number],0,0), IF(_xlpm.Fin-_xlpm.Init&gt;0, _xlfn.XLOOKUP(MIN(4,_xlpm.X+_xlpm.Fin-_xlpm.Init),Exp_Shift[Number],Exp_Shift[Rating],0,0),IF(_xlpm.Fin-_xlpm.Init&lt;0,_xlfn.XLOOKUP(MAX(0,_xlpm.X-1),Exp_Shift[Number],Exp_Shift[Rating],0,0),W58)))</f>
        <v>M</v>
      </c>
      <c r="X150" s="339" t="str" cm="1">
        <f t="array" ref="X150">_xlfn.LET(_xlpm.Fin,_xlfn.XLOOKUP(Q150,Exp_Shift[Rating],Exp_Shift[Number],0,0),_xlpm.Init,_xlfn.XLOOKUP(Q58,Exp_Shift[Rating],Exp_Shift[Number],0,0),_xlpm.X,_xlfn.XLOOKUP(X58,Exp_Shift[Rating],Exp_Shift[Number],0,0), IF(_xlpm.Fin-_xlpm.Init&gt;0, _xlfn.XLOOKUP(MIN(4,_xlpm.X+_xlpm.Fin-_xlpm.Init),Exp_Shift[Number],Exp_Shift[Rating],0,0),IF(_xlpm.Fin-_xlpm.Init&lt;0,_xlfn.XLOOKUP(MAX(0,_xlpm.X-1),Exp_Shift[Number],Exp_Shift[Rating],0,0),X58)))</f>
        <v>H</v>
      </c>
      <c r="Y150" s="338" t="str" cm="1">
        <f t="array" ref="Y150">_xlfn.LET(_xlpm.Fin,_xlfn.XLOOKUP(K150,Exp_Shift[Rating],Exp_Shift[Number],0,0),_xlpm.Init,_xlfn.XLOOKUP(K58,Exp_Shift[Rating],Exp_Shift[Number],0,0),_xlpm.X,_xlfn.XLOOKUP(Y58,Exp_Shift[Rating],Exp_Shift[Number],0,0), IF(_xlpm.Fin-_xlpm.Init&gt;0, _xlfn.XLOOKUP(MIN(4,_xlpm.X+1),Exp_Shift[Number],Exp_Shift[Rating],0,0),IF(_xlpm.Fin-_xlpm.Init&lt;0,_xlfn.XLOOKUP(MAX(0,_xlpm.X),Exp_Shift[Number],Exp_Shift[Rating],0,0),Y58)))</f>
        <v>E</v>
      </c>
      <c r="Z150" s="100" t="str" cm="1">
        <f t="array" ref="Z150">_xlfn.LET(_xlpm.Fin,_xlfn.XLOOKUP(L150,Exp_Shift[Rating],Exp_Shift[Number],0,0),_xlpm.Init,_xlfn.XLOOKUP(L58,Exp_Shift[Rating],Exp_Shift[Number],0,0),_xlpm.X,_xlfn.XLOOKUP(Z58,Exp_Shift[Rating],Exp_Shift[Number],0,0), IF(_xlpm.Fin-_xlpm.Init&gt;0, _xlfn.XLOOKUP(MIN(4,_xlpm.X+1),Exp_Shift[Number],Exp_Shift[Rating],0,0),IF(_xlpm.Fin-_xlpm.Init&lt;0,_xlfn.XLOOKUP(MAX(0,_xlpm.X),Exp_Shift[Number],Exp_Shift[Rating],0,0),Z58)))</f>
        <v>M</v>
      </c>
      <c r="AA150" s="100" t="str" cm="1">
        <f t="array" ref="AA150">_xlfn.LET(_xlpm.Fin,_xlfn.XLOOKUP(M150,Exp_Shift[Rating],Exp_Shift[Number],0,0),_xlpm.Init,_xlfn.XLOOKUP(M58,Exp_Shift[Rating],Exp_Shift[Number],0,0),_xlpm.X,_xlfn.XLOOKUP(AA58,Exp_Shift[Rating],Exp_Shift[Number],0,0), IF(_xlpm.Fin-_xlpm.Init&gt;0, _xlfn.XLOOKUP(MIN(4,_xlpm.X+1),Exp_Shift[Number],Exp_Shift[Rating],0,0),IF(_xlpm.Fin-_xlpm.Init&lt;0,_xlfn.XLOOKUP(MAX(0,_xlpm.X),Exp_Shift[Number],Exp_Shift[Rating],0,0),AA58)))</f>
        <v>E</v>
      </c>
      <c r="AB150" s="100" t="str" cm="1">
        <f t="array" ref="AB150">_xlfn.LET(_xlpm.Fin,_xlfn.XLOOKUP(N150,Exp_Shift[Rating],Exp_Shift[Number],0,0),_xlpm.Init,_xlfn.XLOOKUP(N58,Exp_Shift[Rating],Exp_Shift[Number],0,0),_xlpm.X,_xlfn.XLOOKUP(AB58,Exp_Shift[Rating],Exp_Shift[Number],0,0), IF(_xlpm.Fin-_xlpm.Init&gt;0, _xlfn.XLOOKUP(MIN(4,_xlpm.X+1),Exp_Shift[Number],Exp_Shift[Rating],0,0),IF(_xlpm.Fin-_xlpm.Init&lt;0,_xlfn.XLOOKUP(MAX(0,_xlpm.X),Exp_Shift[Number],Exp_Shift[Rating],0,0),AB58)))</f>
        <v>L</v>
      </c>
      <c r="AC150" s="100" t="str" cm="1">
        <f t="array" ref="AC150">_xlfn.LET(_xlpm.Fin,_xlfn.XLOOKUP(O150,Exp_Shift[Rating],Exp_Shift[Number],0,0),_xlpm.Init,_xlfn.XLOOKUP(O58,Exp_Shift[Rating],Exp_Shift[Number],0,0),_xlpm.X,_xlfn.XLOOKUP(AC58,Exp_Shift[Rating],Exp_Shift[Number],0,0), IF(_xlpm.Fin-_xlpm.Init&gt;0, _xlfn.XLOOKUP(MIN(4,_xlpm.X+1),Exp_Shift[Number],Exp_Shift[Rating],0,0),IF(_xlpm.Fin-_xlpm.Init&lt;0,_xlfn.XLOOKUP(MAX(0,_xlpm.X),Exp_Shift[Number],Exp_Shift[Rating],0,0),AC58)))</f>
        <v>E</v>
      </c>
      <c r="AD150" s="100" t="str" cm="1">
        <f t="array" ref="AD150">_xlfn.LET(_xlpm.Fin,_xlfn.XLOOKUP(P150,Exp_Shift[Rating],Exp_Shift[Number],0,0),_xlpm.Init,_xlfn.XLOOKUP(P58,Exp_Shift[Rating],Exp_Shift[Number],0,0),_xlpm.X,_xlfn.XLOOKUP(AD58,Exp_Shift[Rating],Exp_Shift[Number],0,0), IF(_xlpm.Fin-_xlpm.Init&gt;0, _xlfn.XLOOKUP(MIN(4,_xlpm.X+1),Exp_Shift[Number],Exp_Shift[Rating],0,0),IF(_xlpm.Fin-_xlpm.Init&lt;0,_xlfn.XLOOKUP(MAX(0,_xlpm.X),Exp_Shift[Number],Exp_Shift[Rating],0,0),AD58)))</f>
        <v>E</v>
      </c>
      <c r="AE150" s="340" t="str" cm="1">
        <f t="array" ref="AE150">_xlfn.LET(_xlpm.Fin,_xlfn.XLOOKUP(Q150,Exp_Shift[Rating],Exp_Shift[Number],0,0),_xlpm.Init,_xlfn.XLOOKUP(Q58,Exp_Shift[Rating],Exp_Shift[Number],0,0),_xlpm.X,_xlfn.XLOOKUP(AE58,Exp_Shift[Rating],Exp_Shift[Number],0,0), IF(_xlpm.Fin-_xlpm.Init&gt;0, _xlfn.XLOOKUP(MIN(4,_xlpm.X+1),Exp_Shift[Number],Exp_Shift[Rating],0,0),IF(_xlpm.Fin-_xlpm.Init&lt;0,_xlfn.XLOOKUP(MAX(0,_xlpm.X),Exp_Shift[Number],Exp_Shift[Rating],0,0),AE58)))</f>
        <v>E</v>
      </c>
    </row>
    <row r="151" spans="8:31" ht="18" x14ac:dyDescent="0.35">
      <c r="H151" s="26">
        <v>94</v>
      </c>
      <c r="I151" s="327" t="s">
        <v>111</v>
      </c>
      <c r="J151" s="328" t="s">
        <v>117</v>
      </c>
      <c r="K151" s="23" t="str" cm="1">
        <f t="array" ref="K151">_xlfn.SWITCH(K128,"N/A","L","L","M","M","H","H","E","E","N/A")</f>
        <v>N/A</v>
      </c>
      <c r="L151" t="str" cm="1">
        <f t="array" ref="L151">_xlfn.SWITCH(L128,"N/A","L","L","M","M","H","H","E","E","N/A")</f>
        <v>L</v>
      </c>
      <c r="M151" t="str" cm="1">
        <f t="array" ref="M151">_xlfn.SWITCH(M128,"N/A","L","L","M","M","H","H","E","E","N/A")</f>
        <v>M</v>
      </c>
      <c r="N151" t="str" cm="1">
        <f t="array" ref="N151">_xlfn.SWITCH(N128,"N/A","L","L","M","M","H","H","E","E","N/A")</f>
        <v>N/A</v>
      </c>
      <c r="O151" t="str" cm="1">
        <f t="array" ref="O151">_xlfn.SWITCH(O128,"N/A","L","L","M","M","H","H","E","E","N/A")</f>
        <v>E</v>
      </c>
      <c r="P151" t="str" cm="1">
        <f t="array" ref="P151">_xlfn.SWITCH(P128,"N/A","L","L","M","M","H","H","E","E","N/A")</f>
        <v>E</v>
      </c>
      <c r="Q151" s="19" t="str" cm="1">
        <f t="array" ref="Q151">_xlfn.SWITCH(Q128,"N/A","L","L","M","M","H","H","E","E","N/A")</f>
        <v>M</v>
      </c>
      <c r="R151" s="23" t="str" cm="1">
        <f t="array" ref="R151">_xlfn.LET(_xlpm.Fin,_xlfn.XLOOKUP(K151,Exp_Shift[Rating],Exp_Shift[Number],0,0),_xlpm.Init,_xlfn.XLOOKUP(K59,Exp_Shift[Rating],Exp_Shift[Number],0,0),_xlpm.X,_xlfn.XLOOKUP(R59,Exp_Shift[Rating],Exp_Shift[Number],0,0), IF(_xlpm.Fin-_xlpm.Init&gt;0, _xlfn.XLOOKUP(MIN(4,_xlpm.X+_xlpm.Fin-_xlpm.Init),Exp_Shift[Number],Exp_Shift[Rating],0,0),IF(_xlpm.Fin-_xlpm.Init&lt;0,_xlfn.XLOOKUP(MAX(0,_xlpm.X-1),Exp_Shift[Number],Exp_Shift[Rating],0,0),R59)))</f>
        <v>L</v>
      </c>
      <c r="S151" t="str" cm="1">
        <f t="array" ref="S151">_xlfn.LET(_xlpm.Fin,_xlfn.XLOOKUP(L151,Exp_Shift[Rating],Exp_Shift[Number],0,0),_xlpm.Init,_xlfn.XLOOKUP(L59,Exp_Shift[Rating],Exp_Shift[Number],0,0),_xlpm.X,_xlfn.XLOOKUP(S59,Exp_Shift[Rating],Exp_Shift[Number],0,0), IF(_xlpm.Fin-_xlpm.Init&gt;0, _xlfn.XLOOKUP(MIN(4,_xlpm.X+_xlpm.Fin-_xlpm.Init),Exp_Shift[Number],Exp_Shift[Rating],0,0),IF(_xlpm.Fin-_xlpm.Init&lt;0,_xlfn.XLOOKUP(MAX(0,_xlpm.X-1),Exp_Shift[Number],Exp_Shift[Rating],0,0),S59)))</f>
        <v>M</v>
      </c>
      <c r="T151" t="str" cm="1">
        <f t="array" ref="T151">_xlfn.LET(_xlpm.Fin,_xlfn.XLOOKUP(M151,Exp_Shift[Rating],Exp_Shift[Number],0,0),_xlpm.Init,_xlfn.XLOOKUP(M59,Exp_Shift[Rating],Exp_Shift[Number],0,0),_xlpm.X,_xlfn.XLOOKUP(T59,Exp_Shift[Rating],Exp_Shift[Number],0,0), IF(_xlpm.Fin-_xlpm.Init&gt;0, _xlfn.XLOOKUP(MIN(4,_xlpm.X+_xlpm.Fin-_xlpm.Init),Exp_Shift[Number],Exp_Shift[Rating],0,0),IF(_xlpm.Fin-_xlpm.Init&lt;0,_xlfn.XLOOKUP(MAX(0,_xlpm.X-1),Exp_Shift[Number],Exp_Shift[Rating],0,0),T59)))</f>
        <v>H</v>
      </c>
      <c r="U151" t="str" cm="1">
        <f t="array" ref="U151">_xlfn.LET(_xlpm.Fin,_xlfn.XLOOKUP(N151,Exp_Shift[Rating],Exp_Shift[Number],0,0),_xlpm.Init,_xlfn.XLOOKUP(N59,Exp_Shift[Rating],Exp_Shift[Number],0,0),_xlpm.X,_xlfn.XLOOKUP(U59,Exp_Shift[Rating],Exp_Shift[Number],0,0), IF(_xlpm.Fin-_xlpm.Init&gt;0, _xlfn.XLOOKUP(MIN(4,_xlpm.X+_xlpm.Fin-_xlpm.Init),Exp_Shift[Number],Exp_Shift[Rating],0,0),IF(_xlpm.Fin-_xlpm.Init&lt;0,_xlfn.XLOOKUP(MAX(0,_xlpm.X-1),Exp_Shift[Number],Exp_Shift[Rating],0,0),U59)))</f>
        <v>L</v>
      </c>
      <c r="V151" t="str" cm="1">
        <f t="array" ref="V151">_xlfn.LET(_xlpm.Fin,_xlfn.XLOOKUP(O151,Exp_Shift[Rating],Exp_Shift[Number],0,0),_xlpm.Init,_xlfn.XLOOKUP(O59,Exp_Shift[Rating],Exp_Shift[Number],0,0),_xlpm.X,_xlfn.XLOOKUP(V59,Exp_Shift[Rating],Exp_Shift[Number],0,0), IF(_xlpm.Fin-_xlpm.Init&gt;0, _xlfn.XLOOKUP(MIN(4,_xlpm.X+_xlpm.Fin-_xlpm.Init),Exp_Shift[Number],Exp_Shift[Rating],0,0),IF(_xlpm.Fin-_xlpm.Init&lt;0,_xlfn.XLOOKUP(MAX(0,_xlpm.X-1),Exp_Shift[Number],Exp_Shift[Rating],0,0),V59)))</f>
        <v>E</v>
      </c>
      <c r="W151" t="str" cm="1">
        <f t="array" ref="W151">_xlfn.LET(_xlpm.Fin,_xlfn.XLOOKUP(P151,Exp_Shift[Rating],Exp_Shift[Number],0,0),_xlpm.Init,_xlfn.XLOOKUP(P59,Exp_Shift[Rating],Exp_Shift[Number],0,0),_xlpm.X,_xlfn.XLOOKUP(W59,Exp_Shift[Rating],Exp_Shift[Number],0,0), IF(_xlpm.Fin-_xlpm.Init&gt;0, _xlfn.XLOOKUP(MIN(4,_xlpm.X+_xlpm.Fin-_xlpm.Init),Exp_Shift[Number],Exp_Shift[Rating],0,0),IF(_xlpm.Fin-_xlpm.Init&lt;0,_xlfn.XLOOKUP(MAX(0,_xlpm.X-1),Exp_Shift[Number],Exp_Shift[Rating],0,0),W59)))</f>
        <v>E</v>
      </c>
      <c r="X151" s="19" t="str" cm="1">
        <f t="array" ref="X151">_xlfn.LET(_xlpm.Fin,_xlfn.XLOOKUP(Q151,Exp_Shift[Rating],Exp_Shift[Number],0,0),_xlpm.Init,_xlfn.XLOOKUP(Q59,Exp_Shift[Rating],Exp_Shift[Number],0,0),_xlpm.X,_xlfn.XLOOKUP(X59,Exp_Shift[Rating],Exp_Shift[Number],0,0), IF(_xlpm.Fin-_xlpm.Init&gt;0, _xlfn.XLOOKUP(MIN(4,_xlpm.X+_xlpm.Fin-_xlpm.Init),Exp_Shift[Number],Exp_Shift[Rating],0,0),IF(_xlpm.Fin-_xlpm.Init&lt;0,_xlfn.XLOOKUP(MAX(0,_xlpm.X-1),Exp_Shift[Number],Exp_Shift[Rating],0,0),X59)))</f>
        <v>H</v>
      </c>
      <c r="Y151" s="23" t="str" cm="1">
        <f t="array" ref="Y151">_xlfn.LET(_xlpm.Fin,_xlfn.XLOOKUP(K151,Exp_Shift[Rating],Exp_Shift[Number],0,0),_xlpm.Init,_xlfn.XLOOKUP(K59,Exp_Shift[Rating],Exp_Shift[Number],0,0),_xlpm.X,_xlfn.XLOOKUP(Y59,Exp_Shift[Rating],Exp_Shift[Number],0,0), IF(_xlpm.Fin-_xlpm.Init&gt;0, _xlfn.XLOOKUP(MIN(4,_xlpm.X+1),Exp_Shift[Number],Exp_Shift[Rating],0,0),IF(_xlpm.Fin-_xlpm.Init&lt;0,_xlfn.XLOOKUP(MAX(0,_xlpm.X),Exp_Shift[Number],Exp_Shift[Rating],0,0),Y59)))</f>
        <v>H</v>
      </c>
      <c r="Z151" t="str" cm="1">
        <f t="array" ref="Z151">_xlfn.LET(_xlpm.Fin,_xlfn.XLOOKUP(L151,Exp_Shift[Rating],Exp_Shift[Number],0,0),_xlpm.Init,_xlfn.XLOOKUP(L59,Exp_Shift[Rating],Exp_Shift[Number],0,0),_xlpm.X,_xlfn.XLOOKUP(Z59,Exp_Shift[Rating],Exp_Shift[Number],0,0), IF(_xlpm.Fin-_xlpm.Init&gt;0, _xlfn.XLOOKUP(MIN(4,_xlpm.X+1),Exp_Shift[Number],Exp_Shift[Rating],0,0),IF(_xlpm.Fin-_xlpm.Init&lt;0,_xlfn.XLOOKUP(MAX(0,_xlpm.X),Exp_Shift[Number],Exp_Shift[Rating],0,0),Z59)))</f>
        <v>E</v>
      </c>
      <c r="AA151" t="str" cm="1">
        <f t="array" ref="AA151">_xlfn.LET(_xlpm.Fin,_xlfn.XLOOKUP(M151,Exp_Shift[Rating],Exp_Shift[Number],0,0),_xlpm.Init,_xlfn.XLOOKUP(M59,Exp_Shift[Rating],Exp_Shift[Number],0,0),_xlpm.X,_xlfn.XLOOKUP(AA59,Exp_Shift[Rating],Exp_Shift[Number],0,0), IF(_xlpm.Fin-_xlpm.Init&gt;0, _xlfn.XLOOKUP(MIN(4,_xlpm.X+1),Exp_Shift[Number],Exp_Shift[Rating],0,0),IF(_xlpm.Fin-_xlpm.Init&lt;0,_xlfn.XLOOKUP(MAX(0,_xlpm.X),Exp_Shift[Number],Exp_Shift[Rating],0,0),AA59)))</f>
        <v>E</v>
      </c>
      <c r="AB151" t="str" cm="1">
        <f t="array" ref="AB151">_xlfn.LET(_xlpm.Fin,_xlfn.XLOOKUP(N151,Exp_Shift[Rating],Exp_Shift[Number],0,0),_xlpm.Init,_xlfn.XLOOKUP(N59,Exp_Shift[Rating],Exp_Shift[Number],0,0),_xlpm.X,_xlfn.XLOOKUP(AB59,Exp_Shift[Rating],Exp_Shift[Number],0,0), IF(_xlpm.Fin-_xlpm.Init&gt;0, _xlfn.XLOOKUP(MIN(4,_xlpm.X+1),Exp_Shift[Number],Exp_Shift[Rating],0,0),IF(_xlpm.Fin-_xlpm.Init&lt;0,_xlfn.XLOOKUP(MAX(0,_xlpm.X),Exp_Shift[Number],Exp_Shift[Rating],0,0),AB59)))</f>
        <v>E</v>
      </c>
      <c r="AC151" t="str" cm="1">
        <f t="array" ref="AC151">_xlfn.LET(_xlpm.Fin,_xlfn.XLOOKUP(O151,Exp_Shift[Rating],Exp_Shift[Number],0,0),_xlpm.Init,_xlfn.XLOOKUP(O59,Exp_Shift[Rating],Exp_Shift[Number],0,0),_xlpm.X,_xlfn.XLOOKUP(AC59,Exp_Shift[Rating],Exp_Shift[Number],0,0), IF(_xlpm.Fin-_xlpm.Init&gt;0, _xlfn.XLOOKUP(MIN(4,_xlpm.X+1),Exp_Shift[Number],Exp_Shift[Rating],0,0),IF(_xlpm.Fin-_xlpm.Init&lt;0,_xlfn.XLOOKUP(MAX(0,_xlpm.X),Exp_Shift[Number],Exp_Shift[Rating],0,0),AC59)))</f>
        <v>L</v>
      </c>
      <c r="AD151" t="str" cm="1">
        <f t="array" ref="AD151">_xlfn.LET(_xlpm.Fin,_xlfn.XLOOKUP(P151,Exp_Shift[Rating],Exp_Shift[Number],0,0),_xlpm.Init,_xlfn.XLOOKUP(P59,Exp_Shift[Rating],Exp_Shift[Number],0,0),_xlpm.X,_xlfn.XLOOKUP(AD59,Exp_Shift[Rating],Exp_Shift[Number],0,0), IF(_xlpm.Fin-_xlpm.Init&gt;0, _xlfn.XLOOKUP(MIN(4,_xlpm.X+1),Exp_Shift[Number],Exp_Shift[Rating],0,0),IF(_xlpm.Fin-_xlpm.Init&lt;0,_xlfn.XLOOKUP(MAX(0,_xlpm.X),Exp_Shift[Number],Exp_Shift[Rating],0,0),AD59)))</f>
        <v>L</v>
      </c>
      <c r="AE151" s="27" t="str" cm="1">
        <f t="array" ref="AE151">_xlfn.LET(_xlpm.Fin,_xlfn.XLOOKUP(Q151,Exp_Shift[Rating],Exp_Shift[Number],0,0),_xlpm.Init,_xlfn.XLOOKUP(Q59,Exp_Shift[Rating],Exp_Shift[Number],0,0),_xlpm.X,_xlfn.XLOOKUP(AE59,Exp_Shift[Rating],Exp_Shift[Number],0,0), IF(_xlpm.Fin-_xlpm.Init&gt;0, _xlfn.XLOOKUP(MIN(4,_xlpm.X+1),Exp_Shift[Number],Exp_Shift[Rating],0,0),IF(_xlpm.Fin-_xlpm.Init&lt;0,_xlfn.XLOOKUP(MAX(0,_xlpm.X),Exp_Shift[Number],Exp_Shift[Rating],0,0),AE59)))</f>
        <v>E</v>
      </c>
    </row>
    <row r="152" spans="8:31" ht="18" x14ac:dyDescent="0.35">
      <c r="H152" s="26">
        <v>95</v>
      </c>
      <c r="I152" s="329" t="s">
        <v>111</v>
      </c>
      <c r="J152" s="330" t="s">
        <v>119</v>
      </c>
      <c r="K152" s="103" t="str" cm="1">
        <f t="array" ref="K152">_xlfn.SWITCH(K129,"N/A","L","L","M","M","H","H","E","E","N/A")</f>
        <v>N/A</v>
      </c>
      <c r="L152" s="17" t="str" cm="1">
        <f t="array" ref="L152">_xlfn.SWITCH(L129,"N/A","L","L","M","M","H","H","E","E","N/A")</f>
        <v>L</v>
      </c>
      <c r="M152" s="17" t="str" cm="1">
        <f t="array" ref="M152">_xlfn.SWITCH(M129,"N/A","L","L","M","M","H","H","E","E","N/A")</f>
        <v>M</v>
      </c>
      <c r="N152" s="17" t="str" cm="1">
        <f t="array" ref="N152">_xlfn.SWITCH(N129,"N/A","L","L","M","M","H","H","E","E","N/A")</f>
        <v>L</v>
      </c>
      <c r="O152" s="17" t="str" cm="1">
        <f t="array" ref="O152">_xlfn.SWITCH(O129,"N/A","L","L","M","M","H","H","E","E","N/A")</f>
        <v>E</v>
      </c>
      <c r="P152" s="17" t="str" cm="1">
        <f t="array" ref="P152">_xlfn.SWITCH(P129,"N/A","L","L","M","M","H","H","E","E","N/A")</f>
        <v>E</v>
      </c>
      <c r="Q152" s="97" t="str" cm="1">
        <f t="array" ref="Q152">_xlfn.SWITCH(Q129,"N/A","L","L","M","M","H","H","E","E","N/A")</f>
        <v>M</v>
      </c>
      <c r="R152" s="103" t="str" cm="1">
        <f t="array" ref="R152">_xlfn.LET(_xlpm.Fin,_xlfn.XLOOKUP(K152,Exp_Shift[Rating],Exp_Shift[Number],0,0),_xlpm.Init,_xlfn.XLOOKUP(K60,Exp_Shift[Rating],Exp_Shift[Number],0,0),_xlpm.X,_xlfn.XLOOKUP(R60,Exp_Shift[[Rating]:[Rating]],Exp_Shift[[Number]:[Number]],0,0), IF(_xlpm.Fin-_xlpm.Init&gt;0, _xlfn.XLOOKUP(MIN(4,_xlpm.X+_xlpm.Fin-_xlpm.Init),Exp_Shift[[Number]:[Number]],Exp_Shift[[Rating]:[Rating]],0,0),IF(_xlpm.Fin-_xlpm.Init&lt;0,_xlfn.XLOOKUP(MAX(0,_xlpm.X-1),Exp_Shift[[Number]:[Number]],Exp_Shift[[Rating]:[Rating]],0,0),R60)))</f>
        <v>M</v>
      </c>
      <c r="S152" s="17" t="str" cm="1">
        <f t="array" ref="S152">_xlfn.LET(_xlpm.Fin,_xlfn.XLOOKUP(L152,Exp_Shift[[Rating]:[Rating]],Exp_Shift[[Number]:[Number]],0,0),_xlpm.Init,_xlfn.XLOOKUP(L60,Exp_Shift[[Rating]:[Rating]],Exp_Shift[[Number]:[Number]],0,0),_xlpm.X,_xlfn.XLOOKUP(S60,Exp_Shift[[Rating]:[Rating]],Exp_Shift[[Number]:[Number]],0,0), IF(_xlpm.Fin-_xlpm.Init&gt;0, _xlfn.XLOOKUP(MIN(4,_xlpm.X+_xlpm.Fin-_xlpm.Init),Exp_Shift[[Number]:[Number]],Exp_Shift[[Rating]:[Rating]],0,0),IF(_xlpm.Fin-_xlpm.Init&lt;0,_xlfn.XLOOKUP(MAX(0,_xlpm.X-1),Exp_Shift[[Number]:[Number]],Exp_Shift[[Rating]:[Rating]],0,0),S60)))</f>
        <v>M</v>
      </c>
      <c r="T152" s="17" t="str" cm="1">
        <f t="array" ref="T152">_xlfn.LET(_xlpm.Fin,_xlfn.XLOOKUP(M152,Exp_Shift[[Rating]:[Rating]],Exp_Shift[[Number]:[Number]],0,0),_xlpm.Init,_xlfn.XLOOKUP(M60,Exp_Shift[[Rating]:[Rating]],Exp_Shift[[Number]:[Number]],0,0),_xlpm.X,_xlfn.XLOOKUP(T60,Exp_Shift[[Rating]:[Rating]],Exp_Shift[[Number]:[Number]],0,0), IF(_xlpm.Fin-_xlpm.Init&gt;0, _xlfn.XLOOKUP(MIN(4,_xlpm.X+_xlpm.Fin-_xlpm.Init),Exp_Shift[[Number]:[Number]],Exp_Shift[[Rating]:[Rating]],0,0),IF(_xlpm.Fin-_xlpm.Init&lt;0,_xlfn.XLOOKUP(MAX(0,_xlpm.X-1),Exp_Shift[[Number]:[Number]],Exp_Shift[[Rating]:[Rating]],0,0),T60)))</f>
        <v>H</v>
      </c>
      <c r="U152" s="17" t="str" cm="1">
        <f t="array" ref="U152">_xlfn.LET(_xlpm.Fin,_xlfn.XLOOKUP(N152,Exp_Shift[[Rating]:[Rating]],Exp_Shift[[Number]:[Number]],0,0),_xlpm.Init,_xlfn.XLOOKUP(N60,Exp_Shift[[Rating]:[Rating]],Exp_Shift[[Number]:[Number]],0,0),_xlpm.X,_xlfn.XLOOKUP(U60,Exp_Shift[[Rating]:[Rating]],Exp_Shift[[Number]:[Number]],0,0), IF(_xlpm.Fin-_xlpm.Init&gt;0, _xlfn.XLOOKUP(MIN(4,_xlpm.X+_xlpm.Fin-_xlpm.Init),Exp_Shift[[Number]:[Number]],Exp_Shift[[Rating]:[Rating]],0,0),IF(_xlpm.Fin-_xlpm.Init&lt;0,_xlfn.XLOOKUP(MAX(0,_xlpm.X-1),Exp_Shift[[Number]:[Number]],Exp_Shift[[Rating]:[Rating]],0,0),U60)))</f>
        <v>M</v>
      </c>
      <c r="V152" s="17" t="str" cm="1">
        <f t="array" ref="V152">_xlfn.LET(_xlpm.Fin,_xlfn.XLOOKUP(O152,Exp_Shift[[Rating]:[Rating]],Exp_Shift[[Number]:[Number]],0,0),_xlpm.Init,_xlfn.XLOOKUP(O60,Exp_Shift[[Rating]:[Rating]],Exp_Shift[[Number]:[Number]],0,0),_xlpm.X,_xlfn.XLOOKUP(V60,Exp_Shift[[Rating]:[Rating]],Exp_Shift[[Number]:[Number]],0,0), IF(_xlpm.Fin-_xlpm.Init&gt;0, _xlfn.XLOOKUP(MIN(4,_xlpm.X+_xlpm.Fin-_xlpm.Init),Exp_Shift[[Number]:[Number]],Exp_Shift[[Rating]:[Rating]],0,0),IF(_xlpm.Fin-_xlpm.Init&lt;0,_xlfn.XLOOKUP(MAX(0,_xlpm.X-1),Exp_Shift[[Number]:[Number]],Exp_Shift[[Rating]:[Rating]],0,0),V60)))</f>
        <v>E</v>
      </c>
      <c r="W152" s="17" t="str" cm="1">
        <f t="array" ref="W152">_xlfn.LET(_xlpm.Fin,_xlfn.XLOOKUP(P152,Exp_Shift[[Rating]:[Rating]],Exp_Shift[[Number]:[Number]],0,0),_xlpm.Init,_xlfn.XLOOKUP(P60,Exp_Shift[[Rating]:[Rating]],Exp_Shift[[Number]:[Number]],0,0),_xlpm.X,_xlfn.XLOOKUP(W60,Exp_Shift[[Rating]:[Rating]],Exp_Shift[[Number]:[Number]],0,0), IF(_xlpm.Fin-_xlpm.Init&gt;0, _xlfn.XLOOKUP(MIN(4,_xlpm.X+_xlpm.Fin-_xlpm.Init),Exp_Shift[[Number]:[Number]],Exp_Shift[[Rating]:[Rating]],0,0),IF(_xlpm.Fin-_xlpm.Init&lt;0,_xlfn.XLOOKUP(MAX(0,_xlpm.X-1),Exp_Shift[[Number]:[Number]],Exp_Shift[[Rating]:[Rating]],0,0),W60)))</f>
        <v>E</v>
      </c>
      <c r="X152" s="97" t="str" cm="1">
        <f t="array" ref="X152">_xlfn.LET(_xlpm.Fin,_xlfn.XLOOKUP(Q152,Exp_Shift[[Rating]:[Rating]],Exp_Shift[[Number]:[Number]],0,0),_xlpm.Init,_xlfn.XLOOKUP(Q60,Exp_Shift[[Rating]:[Rating]],Exp_Shift[[Number]:[Number]],0,0),_xlpm.X,_xlfn.XLOOKUP(X60,Exp_Shift[[Rating]:[Rating]],Exp_Shift[[Number]:[Number]],0,0), IF(_xlpm.Fin-_xlpm.Init&gt;0, _xlfn.XLOOKUP(MIN(4,_xlpm.X+_xlpm.Fin-_xlpm.Init),Exp_Shift[[Number]:[Number]],Exp_Shift[[Rating]:[Rating]],0,0),IF(_xlpm.Fin-_xlpm.Init&lt;0,_xlfn.XLOOKUP(MAX(0,_xlpm.X-1),Exp_Shift[[Number]:[Number]],Exp_Shift[[Rating]:[Rating]],0,0),X60)))</f>
        <v>H</v>
      </c>
      <c r="Y152" s="103" t="str" cm="1">
        <f t="array" ref="Y152">_xlfn.LET(_xlpm.Fin,_xlfn.XLOOKUP(K152,Exp_Shift[Rating],Exp_Shift[Number],0,0),_xlpm.Init,_xlfn.XLOOKUP(K60,Exp_Shift[Rating],Exp_Shift[Number],0,0),_xlpm.X,_xlfn.XLOOKUP(Y60,Exp_Shift[[Rating]:[Rating]],Exp_Shift[[Number]:[Number]],0,0), IF(_xlpm.Fin-_xlpm.Init&gt;0, _xlfn.XLOOKUP(MIN(4,_xlpm.X+1),Exp_Shift[[Number]:[Number]],Exp_Shift[[Rating]:[Rating]],0,0),IF(_xlpm.Fin-_xlpm.Init&lt;0,_xlfn.XLOOKUP(MAX(0,_xlpm.X),Exp_Shift[[Number]:[Number]],Exp_Shift[[Rating]:[Rating]],0,0),Y60)))</f>
        <v>H</v>
      </c>
      <c r="Z152" s="17" t="str" cm="1">
        <f t="array" ref="Z152">_xlfn.LET(_xlpm.Fin,_xlfn.XLOOKUP(L152,Exp_Shift[[Rating]:[Rating]],Exp_Shift[[Number]:[Number]],0,0),_xlpm.Init,_xlfn.XLOOKUP(L60,Exp_Shift[[Rating]:[Rating]],Exp_Shift[[Number]:[Number]],0,0),_xlpm.X,_xlfn.XLOOKUP(Z60,Exp_Shift[[Rating]:[Rating]],Exp_Shift[[Number]:[Number]],0,0), IF(_xlpm.Fin-_xlpm.Init&gt;0, _xlfn.XLOOKUP(MIN(4,_xlpm.X+1),Exp_Shift[[Number]:[Number]],Exp_Shift[[Rating]:[Rating]],0,0),IF(_xlpm.Fin-_xlpm.Init&lt;0,_xlfn.XLOOKUP(MAX(0,_xlpm.X),Exp_Shift[[Number]:[Number]],Exp_Shift[[Rating]:[Rating]],0,0),Z60)))</f>
        <v>H</v>
      </c>
      <c r="AA152" s="17" t="str" cm="1">
        <f t="array" ref="AA152">_xlfn.LET(_xlpm.Fin,_xlfn.XLOOKUP(M152,Exp_Shift[[Rating]:[Rating]],Exp_Shift[[Number]:[Number]],0,0),_xlpm.Init,_xlfn.XLOOKUP(M60,Exp_Shift[[Rating]:[Rating]],Exp_Shift[[Number]:[Number]],0,0),_xlpm.X,_xlfn.XLOOKUP(AA60,Exp_Shift[[Rating]:[Rating]],Exp_Shift[[Number]:[Number]],0,0), IF(_xlpm.Fin-_xlpm.Init&gt;0, _xlfn.XLOOKUP(MIN(4,_xlpm.X+1),Exp_Shift[[Number]:[Number]],Exp_Shift[[Rating]:[Rating]],0,0),IF(_xlpm.Fin-_xlpm.Init&lt;0,_xlfn.XLOOKUP(MAX(0,_xlpm.X),Exp_Shift[[Number]:[Number]],Exp_Shift[[Rating]:[Rating]],0,0),AA60)))</f>
        <v>E</v>
      </c>
      <c r="AB152" s="17" t="str" cm="1">
        <f t="array" ref="AB152">_xlfn.LET(_xlpm.Fin,_xlfn.XLOOKUP(N152,Exp_Shift[[Rating]:[Rating]],Exp_Shift[[Number]:[Number]],0,0),_xlpm.Init,_xlfn.XLOOKUP(N60,Exp_Shift[[Rating]:[Rating]],Exp_Shift[[Number]:[Number]],0,0),_xlpm.X,_xlfn.XLOOKUP(AB60,Exp_Shift[[Rating]:[Rating]],Exp_Shift[[Number]:[Number]],0,0), IF(_xlpm.Fin-_xlpm.Init&gt;0, _xlfn.XLOOKUP(MIN(4,_xlpm.X+1),Exp_Shift[[Number]:[Number]],Exp_Shift[[Rating]:[Rating]],0,0),IF(_xlpm.Fin-_xlpm.Init&lt;0,_xlfn.XLOOKUP(MAX(0,_xlpm.X),Exp_Shift[[Number]:[Number]],Exp_Shift[[Rating]:[Rating]],0,0),AB60)))</f>
        <v>E</v>
      </c>
      <c r="AC152" s="17" t="str" cm="1">
        <f t="array" ref="AC152">_xlfn.LET(_xlpm.Fin,_xlfn.XLOOKUP(O152,Exp_Shift[[Rating]:[Rating]],Exp_Shift[[Number]:[Number]],0,0),_xlpm.Init,_xlfn.XLOOKUP(O60,Exp_Shift[[Rating]:[Rating]],Exp_Shift[[Number]:[Number]],0,0),_xlpm.X,_xlfn.XLOOKUP(AC60,Exp_Shift[[Rating]:[Rating]],Exp_Shift[[Number]:[Number]],0,0), IF(_xlpm.Fin-_xlpm.Init&gt;0, _xlfn.XLOOKUP(MIN(4,_xlpm.X+1),Exp_Shift[[Number]:[Number]],Exp_Shift[[Rating]:[Rating]],0,0),IF(_xlpm.Fin-_xlpm.Init&lt;0,_xlfn.XLOOKUP(MAX(0,_xlpm.X),Exp_Shift[[Number]:[Number]],Exp_Shift[[Rating]:[Rating]],0,0),AC60)))</f>
        <v>L</v>
      </c>
      <c r="AD152" s="17" t="str" cm="1">
        <f t="array" ref="AD152">_xlfn.LET(_xlpm.Fin,_xlfn.XLOOKUP(P152,Exp_Shift[[Rating]:[Rating]],Exp_Shift[[Number]:[Number]],0,0),_xlpm.Init,_xlfn.XLOOKUP(P60,Exp_Shift[[Rating]:[Rating]],Exp_Shift[[Number]:[Number]],0,0),_xlpm.X,_xlfn.XLOOKUP(AD60,Exp_Shift[[Rating]:[Rating]],Exp_Shift[[Number]:[Number]],0,0), IF(_xlpm.Fin-_xlpm.Init&gt;0, _xlfn.XLOOKUP(MIN(4,_xlpm.X+1),Exp_Shift[[Number]:[Number]],Exp_Shift[[Rating]:[Rating]],0,0),IF(_xlpm.Fin-_xlpm.Init&lt;0,_xlfn.XLOOKUP(MAX(0,_xlpm.X),Exp_Shift[[Number]:[Number]],Exp_Shift[[Rating]:[Rating]],0,0),AD60)))</f>
        <v>L</v>
      </c>
      <c r="AE152" s="341" t="str" cm="1">
        <f t="array" ref="AE152">_xlfn.LET(_xlpm.Fin,_xlfn.XLOOKUP(Q152,Exp_Shift[[Rating]:[Rating]],Exp_Shift[[Number]:[Number]],0,0),_xlpm.Init,_xlfn.XLOOKUP(Q60,Exp_Shift[[Rating]:[Rating]],Exp_Shift[[Number]:[Number]],0,0),_xlpm.X,_xlfn.XLOOKUP(AE60,Exp_Shift[[Rating]:[Rating]],Exp_Shift[[Number]:[Number]],0,0), IF(_xlpm.Fin-_xlpm.Init&gt;0, _xlfn.XLOOKUP(MIN(4,_xlpm.X+1),Exp_Shift[[Number]:[Number]],Exp_Shift[[Rating]:[Rating]],0,0),IF(_xlpm.Fin-_xlpm.Init&lt;0,_xlfn.XLOOKUP(MAX(0,_xlpm.X),Exp_Shift[[Number]:[Number]],Exp_Shift[[Rating]:[Rating]],0,0),AE60)))</f>
        <v>E</v>
      </c>
    </row>
    <row r="153" spans="8:31" ht="18" x14ac:dyDescent="0.35">
      <c r="H153" s="26">
        <v>96</v>
      </c>
      <c r="I153" s="331" t="s">
        <v>120</v>
      </c>
      <c r="J153" s="326" t="s">
        <v>210</v>
      </c>
      <c r="K153" s="23" t="str" cm="1">
        <f t="array" ref="K153">_xlfn.SWITCH(K130,"N/A","L","L","M","M","H","H","E","E","N/A")</f>
        <v>L</v>
      </c>
      <c r="L153" t="str" cm="1">
        <f t="array" ref="L153">_xlfn.SWITCH(L130,"N/A","L","L","M","M","H","H","E","E","N/A")</f>
        <v>L</v>
      </c>
      <c r="M153" t="str" cm="1">
        <f t="array" ref="M153">_xlfn.SWITCH(M130,"N/A","L","L","M","M","H","H","E","E","N/A")</f>
        <v>M</v>
      </c>
      <c r="N153" t="str" cm="1">
        <f t="array" ref="N153">_xlfn.SWITCH(N130,"N/A","L","L","M","M","H","H","E","E","N/A")</f>
        <v>L</v>
      </c>
      <c r="O153" t="str" cm="1">
        <f t="array" ref="O153">_xlfn.SWITCH(O130,"N/A","L","L","M","M","H","H","E","E","N/A")</f>
        <v>E</v>
      </c>
      <c r="P153" t="str" cm="1">
        <f t="array" ref="P153">_xlfn.SWITCH(P130,"N/A","L","L","M","M","H","H","E","E","N/A")</f>
        <v>E</v>
      </c>
      <c r="Q153" s="19" t="str" cm="1">
        <f t="array" ref="Q153">_xlfn.SWITCH(Q130,"N/A","L","L","M","M","H","H","E","E","N/A")</f>
        <v>L</v>
      </c>
      <c r="R153" s="23" t="str" cm="1">
        <f t="array" ref="R153">_xlfn.LET(_xlpm.Fin,_xlfn.XLOOKUP(K153,Exp_Shift[[Rating]:[Rating]],Exp_Shift[[Number]:[Number]],0,0),_xlpm.Init,_xlfn.XLOOKUP(K61,Exp_Shift[[Rating]:[Rating]],Exp_Shift[[Number]:[Number]],0,0),_xlpm.X,_xlfn.XLOOKUP(R61,Exp_Shift[[Rating]:[Rating]],Exp_Shift[[Number]:[Number]],0,0), IF(_xlpm.Fin-_xlpm.Init&gt;0, _xlfn.XLOOKUP(MIN(4,_xlpm.X+_xlpm.Fin-_xlpm.Init),Exp_Shift[[Number]:[Number]],Exp_Shift[[Rating]:[Rating]],0,0),IF(_xlpm.Fin-_xlpm.Init&lt;0,_xlfn.XLOOKUP(MAX(0,_xlpm.X-1),Exp_Shift[[Number]:[Number]],Exp_Shift[[Rating]:[Rating]],0,0),R61)))</f>
        <v>M</v>
      </c>
      <c r="S153" t="str" cm="1">
        <f t="array" ref="S153">_xlfn.LET(_xlpm.Fin,_xlfn.XLOOKUP(L153,Exp_Shift[[Rating]:[Rating]],Exp_Shift[[Number]:[Number]],0,0),_xlpm.Init,_xlfn.XLOOKUP(L61,Exp_Shift[[Rating]:[Rating]],Exp_Shift[[Number]:[Number]],0,0),_xlpm.X,_xlfn.XLOOKUP(S61,Exp_Shift[[Rating]:[Rating]],Exp_Shift[[Number]:[Number]],0,0), IF(_xlpm.Fin-_xlpm.Init&gt;0, _xlfn.XLOOKUP(MIN(4,_xlpm.X+_xlpm.Fin-_xlpm.Init),Exp_Shift[[Number]:[Number]],Exp_Shift[[Rating]:[Rating]],0,0),IF(_xlpm.Fin-_xlpm.Init&lt;0,_xlfn.XLOOKUP(MAX(0,_xlpm.X-1),Exp_Shift[[Number]:[Number]],Exp_Shift[[Rating]:[Rating]],0,0),S61)))</f>
        <v>L</v>
      </c>
      <c r="T153" t="str" cm="1">
        <f t="array" ref="T153">_xlfn.LET(_xlpm.Fin,_xlfn.XLOOKUP(M153,Exp_Shift[[Rating]:[Rating]],Exp_Shift[[Number]:[Number]],0,0),_xlpm.Init,_xlfn.XLOOKUP(M61,Exp_Shift[[Rating]:[Rating]],Exp_Shift[[Number]:[Number]],0,0),_xlpm.X,_xlfn.XLOOKUP(T61,Exp_Shift[[Rating]:[Rating]],Exp_Shift[[Number]:[Number]],0,0), IF(_xlpm.Fin-_xlpm.Init&gt;0, _xlfn.XLOOKUP(MIN(4,_xlpm.X+_xlpm.Fin-_xlpm.Init),Exp_Shift[[Number]:[Number]],Exp_Shift[[Rating]:[Rating]],0,0),IF(_xlpm.Fin-_xlpm.Init&lt;0,_xlfn.XLOOKUP(MAX(0,_xlpm.X-1),Exp_Shift[[Number]:[Number]],Exp_Shift[[Rating]:[Rating]],0,0),T61)))</f>
        <v>H</v>
      </c>
      <c r="U153" t="str" cm="1">
        <f t="array" ref="U153">_xlfn.LET(_xlpm.Fin,_xlfn.XLOOKUP(N153,Exp_Shift[[Rating]:[Rating]],Exp_Shift[[Number]:[Number]],0,0),_xlpm.Init,_xlfn.XLOOKUP(N61,Exp_Shift[[Rating]:[Rating]],Exp_Shift[[Number]:[Number]],0,0),_xlpm.X,_xlfn.XLOOKUP(U61,Exp_Shift[[Rating]:[Rating]],Exp_Shift[[Number]:[Number]],0,0), IF(_xlpm.Fin-_xlpm.Init&gt;0, _xlfn.XLOOKUP(MIN(4,_xlpm.X+_xlpm.Fin-_xlpm.Init),Exp_Shift[[Number]:[Number]],Exp_Shift[[Rating]:[Rating]],0,0),IF(_xlpm.Fin-_xlpm.Init&lt;0,_xlfn.XLOOKUP(MAX(0,_xlpm.X-1),Exp_Shift[[Number]:[Number]],Exp_Shift[[Rating]:[Rating]],0,0),U61)))</f>
        <v>M</v>
      </c>
      <c r="V153" t="str" cm="1">
        <f t="array" ref="V153">_xlfn.LET(_xlpm.Fin,_xlfn.XLOOKUP(O153,Exp_Shift[[Rating]:[Rating]],Exp_Shift[[Number]:[Number]],0,0),_xlpm.Init,_xlfn.XLOOKUP(O61,Exp_Shift[[Rating]:[Rating]],Exp_Shift[[Number]:[Number]],0,0),_xlpm.X,_xlfn.XLOOKUP(V61,Exp_Shift[[Rating]:[Rating]],Exp_Shift[[Number]:[Number]],0,0), IF(_xlpm.Fin-_xlpm.Init&gt;0, _xlfn.XLOOKUP(MIN(4,_xlpm.X+_xlpm.Fin-_xlpm.Init),Exp_Shift[[Number]:[Number]],Exp_Shift[[Rating]:[Rating]],0,0),IF(_xlpm.Fin-_xlpm.Init&lt;0,_xlfn.XLOOKUP(MAX(0,_xlpm.X-1),Exp_Shift[[Number]:[Number]],Exp_Shift[[Rating]:[Rating]],0,0),V61)))</f>
        <v>E</v>
      </c>
      <c r="W153" t="str" cm="1">
        <f t="array" ref="W153">_xlfn.LET(_xlpm.Fin,_xlfn.XLOOKUP(P153,Exp_Shift[[Rating]:[Rating]],Exp_Shift[[Number]:[Number]],0,0),_xlpm.Init,_xlfn.XLOOKUP(P61,Exp_Shift[[Rating]:[Rating]],Exp_Shift[[Number]:[Number]],0,0),_xlpm.X,_xlfn.XLOOKUP(W61,Exp_Shift[[Rating]:[Rating]],Exp_Shift[[Number]:[Number]],0,0), IF(_xlpm.Fin-_xlpm.Init&gt;0, _xlfn.XLOOKUP(MIN(4,_xlpm.X+_xlpm.Fin-_xlpm.Init),Exp_Shift[[Number]:[Number]],Exp_Shift[[Rating]:[Rating]],0,0),IF(_xlpm.Fin-_xlpm.Init&lt;0,_xlfn.XLOOKUP(MAX(0,_xlpm.X-1),Exp_Shift[[Number]:[Number]],Exp_Shift[[Rating]:[Rating]],0,0),W61)))</f>
        <v>E</v>
      </c>
      <c r="X153" s="19" t="str" cm="1">
        <f t="array" ref="X153">_xlfn.LET(_xlpm.Fin,_xlfn.XLOOKUP(Q153,Exp_Shift[[Rating]:[Rating]],Exp_Shift[[Number]:[Number]],0,0),_xlpm.Init,_xlfn.XLOOKUP(Q61,Exp_Shift[[Rating]:[Rating]],Exp_Shift[[Number]:[Number]],0,0),_xlpm.X,_xlfn.XLOOKUP(X61,Exp_Shift[[Rating]:[Rating]],Exp_Shift[[Number]:[Number]],0,0), IF(_xlpm.Fin-_xlpm.Init&gt;0, _xlfn.XLOOKUP(MIN(4,_xlpm.X+_xlpm.Fin-_xlpm.Init),Exp_Shift[[Number]:[Number]],Exp_Shift[[Rating]:[Rating]],0,0),IF(_xlpm.Fin-_xlpm.Init&lt;0,_xlfn.XLOOKUP(MAX(0,_xlpm.X-1),Exp_Shift[[Number]:[Number]],Exp_Shift[[Rating]:[Rating]],0,0),X61)))</f>
        <v>M</v>
      </c>
      <c r="Y153" s="23" t="str" cm="1">
        <f t="array" ref="Y153">_xlfn.LET(_xlpm.Fin,_xlfn.XLOOKUP(K153,Exp_Shift[[Rating]:[Rating]],Exp_Shift[[Number]:[Number]],0,0),_xlpm.Init,_xlfn.XLOOKUP(K61,Exp_Shift[[Rating]:[Rating]],Exp_Shift[[Number]:[Number]],0,0),_xlpm.X,_xlfn.XLOOKUP(Y61,Exp_Shift[[Rating]:[Rating]],Exp_Shift[[Number]:[Number]],0,0), IF(_xlpm.Fin-_xlpm.Init&gt;0, _xlfn.XLOOKUP(MIN(4,_xlpm.X+1),Exp_Shift[[Number]:[Number]],Exp_Shift[[Rating]:[Rating]],0,0),IF(_xlpm.Fin-_xlpm.Init&lt;0,_xlfn.XLOOKUP(MAX(0,_xlpm.X),Exp_Shift[[Number]:[Number]],Exp_Shift[[Rating]:[Rating]],0,0),Y61)))</f>
        <v>E</v>
      </c>
      <c r="Z153" t="str" cm="1">
        <f t="array" ref="Z153">_xlfn.LET(_xlpm.Fin,_xlfn.XLOOKUP(L153,Exp_Shift[[Rating]:[Rating]],Exp_Shift[[Number]:[Number]],0,0),_xlpm.Init,_xlfn.XLOOKUP(L61,Exp_Shift[[Rating]:[Rating]],Exp_Shift[[Number]:[Number]],0,0),_xlpm.X,_xlfn.XLOOKUP(Z61,Exp_Shift[[Rating]:[Rating]],Exp_Shift[[Number]:[Number]],0,0), IF(_xlpm.Fin-_xlpm.Init&gt;0, _xlfn.XLOOKUP(MIN(4,_xlpm.X+1),Exp_Shift[[Number]:[Number]],Exp_Shift[[Rating]:[Rating]],0,0),IF(_xlpm.Fin-_xlpm.Init&lt;0,_xlfn.XLOOKUP(MAX(0,_xlpm.X),Exp_Shift[[Number]:[Number]],Exp_Shift[[Rating]:[Rating]],0,0),Z61)))</f>
        <v>H</v>
      </c>
      <c r="AA153" t="str" cm="1">
        <f t="array" ref="AA153">_xlfn.LET(_xlpm.Fin,_xlfn.XLOOKUP(M153,Exp_Shift[[Rating]:[Rating]],Exp_Shift[[Number]:[Number]],0,0),_xlpm.Init,_xlfn.XLOOKUP(M61,Exp_Shift[[Rating]:[Rating]],Exp_Shift[[Number]:[Number]],0,0),_xlpm.X,_xlfn.XLOOKUP(AA61,Exp_Shift[[Rating]:[Rating]],Exp_Shift[[Number]:[Number]],0,0), IF(_xlpm.Fin-_xlpm.Init&gt;0, _xlfn.XLOOKUP(MIN(4,_xlpm.X+1),Exp_Shift[[Number]:[Number]],Exp_Shift[[Rating]:[Rating]],0,0),IF(_xlpm.Fin-_xlpm.Init&lt;0,_xlfn.XLOOKUP(MAX(0,_xlpm.X),Exp_Shift[[Number]:[Number]],Exp_Shift[[Rating]:[Rating]],0,0),AA61)))</f>
        <v>E</v>
      </c>
      <c r="AB153" t="str" cm="1">
        <f t="array" ref="AB153">_xlfn.LET(_xlpm.Fin,_xlfn.XLOOKUP(N153,Exp_Shift[[Rating]:[Rating]],Exp_Shift[[Number]:[Number]],0,0),_xlpm.Init,_xlfn.XLOOKUP(N61,Exp_Shift[[Rating]:[Rating]],Exp_Shift[[Number]:[Number]],0,0),_xlpm.X,_xlfn.XLOOKUP(AB61,Exp_Shift[[Rating]:[Rating]],Exp_Shift[[Number]:[Number]],0,0), IF(_xlpm.Fin-_xlpm.Init&gt;0, _xlfn.XLOOKUP(MIN(4,_xlpm.X+1),Exp_Shift[[Number]:[Number]],Exp_Shift[[Rating]:[Rating]],0,0),IF(_xlpm.Fin-_xlpm.Init&lt;0,_xlfn.XLOOKUP(MAX(0,_xlpm.X),Exp_Shift[[Number]:[Number]],Exp_Shift[[Rating]:[Rating]],0,0),AB61)))</f>
        <v>E</v>
      </c>
      <c r="AC153" t="str" cm="1">
        <f t="array" ref="AC153">_xlfn.LET(_xlpm.Fin,_xlfn.XLOOKUP(O153,Exp_Shift[[Rating]:[Rating]],Exp_Shift[[Number]:[Number]],0,0),_xlpm.Init,_xlfn.XLOOKUP(O61,Exp_Shift[[Rating]:[Rating]],Exp_Shift[[Number]:[Number]],0,0),_xlpm.X,_xlfn.XLOOKUP(AC61,Exp_Shift[[Rating]:[Rating]],Exp_Shift[[Number]:[Number]],0,0), IF(_xlpm.Fin-_xlpm.Init&gt;0, _xlfn.XLOOKUP(MIN(4,_xlpm.X+1),Exp_Shift[[Number]:[Number]],Exp_Shift[[Rating]:[Rating]],0,0),IF(_xlpm.Fin-_xlpm.Init&lt;0,_xlfn.XLOOKUP(MAX(0,_xlpm.X),Exp_Shift[[Number]:[Number]],Exp_Shift[[Rating]:[Rating]],0,0),AC61)))</f>
        <v>L</v>
      </c>
      <c r="AD153" t="str" cm="1">
        <f t="array" ref="AD153">_xlfn.LET(_xlpm.Fin,_xlfn.XLOOKUP(P153,Exp_Shift[[Rating]:[Rating]],Exp_Shift[[Number]:[Number]],0,0),_xlpm.Init,_xlfn.XLOOKUP(P61,Exp_Shift[[Rating]:[Rating]],Exp_Shift[[Number]:[Number]],0,0),_xlpm.X,_xlfn.XLOOKUP(AD61,Exp_Shift[[Rating]:[Rating]],Exp_Shift[[Number]:[Number]],0,0), IF(_xlpm.Fin-_xlpm.Init&gt;0, _xlfn.XLOOKUP(MIN(4,_xlpm.X+1),Exp_Shift[[Number]:[Number]],Exp_Shift[[Rating]:[Rating]],0,0),IF(_xlpm.Fin-_xlpm.Init&lt;0,_xlfn.XLOOKUP(MAX(0,_xlpm.X),Exp_Shift[[Number]:[Number]],Exp_Shift[[Rating]:[Rating]],0,0),AD61)))</f>
        <v>L</v>
      </c>
      <c r="AE153" s="27" t="str" cm="1">
        <f t="array" ref="AE153">_xlfn.LET(_xlpm.Fin,_xlfn.XLOOKUP(Q153,Exp_Shift[[Rating]:[Rating]],Exp_Shift[[Number]:[Number]],0,0),_xlpm.Init,_xlfn.XLOOKUP(Q61,Exp_Shift[[Rating]:[Rating]],Exp_Shift[[Number]:[Number]],0,0),_xlpm.X,_xlfn.XLOOKUP(AE61,Exp_Shift[[Rating]:[Rating]],Exp_Shift[[Number]:[Number]],0,0), IF(_xlpm.Fin-_xlpm.Init&gt;0, _xlfn.XLOOKUP(MIN(4,_xlpm.X+1),Exp_Shift[[Number]:[Number]],Exp_Shift[[Rating]:[Rating]],0,0),IF(_xlpm.Fin-_xlpm.Init&lt;0,_xlfn.XLOOKUP(MAX(0,_xlpm.X),Exp_Shift[[Number]:[Number]],Exp_Shift[[Rating]:[Rating]],0,0),AE61)))</f>
        <v>E</v>
      </c>
    </row>
    <row r="154" spans="8:31" ht="18" x14ac:dyDescent="0.35">
      <c r="H154" s="26">
        <v>97</v>
      </c>
      <c r="I154" s="332" t="s">
        <v>120</v>
      </c>
      <c r="J154" s="328" t="s">
        <v>218</v>
      </c>
      <c r="K154" s="23" t="str" cm="1">
        <f t="array" ref="K154">_xlfn.SWITCH(K131,"N/A","L","L","M","M","H","H","E","E","N/A")</f>
        <v>L</v>
      </c>
      <c r="L154" t="str" cm="1">
        <f t="array" ref="L154">_xlfn.SWITCH(L131,"N/A","L","L","M","M","H","H","E","E","N/A")</f>
        <v>L</v>
      </c>
      <c r="M154" t="str" cm="1">
        <f t="array" ref="M154">_xlfn.SWITCH(M131,"N/A","L","L","M","M","H","H","E","E","N/A")</f>
        <v>M</v>
      </c>
      <c r="N154" t="str" cm="1">
        <f t="array" ref="N154">_xlfn.SWITCH(N131,"N/A","L","L","M","M","H","H","E","E","N/A")</f>
        <v>N/A</v>
      </c>
      <c r="O154" t="str" cm="1">
        <f t="array" ref="O154">_xlfn.SWITCH(O131,"N/A","L","L","M","M","H","H","E","E","N/A")</f>
        <v>E</v>
      </c>
      <c r="P154" t="str" cm="1">
        <f t="array" ref="P154">_xlfn.SWITCH(P131,"N/A","L","L","M","M","H","H","E","E","N/A")</f>
        <v>L</v>
      </c>
      <c r="Q154" s="19" t="str" cm="1">
        <f t="array" ref="Q154">_xlfn.SWITCH(Q131,"N/A","L","L","M","M","H","H","E","E","N/A")</f>
        <v>L</v>
      </c>
      <c r="R154" s="23" t="str" cm="1">
        <f t="array" ref="R154">_xlfn.LET(_xlpm.Fin,_xlfn.XLOOKUP(K154,Exp_Shift[[Rating]:[Rating]],Exp_Shift[[Number]:[Number]],0,0),_xlpm.Init,_xlfn.XLOOKUP(K62,Exp_Shift[[Rating]:[Rating]],Exp_Shift[[Number]:[Number]],0,0),_xlpm.X,_xlfn.XLOOKUP(R62,Exp_Shift[[Rating]:[Rating]],Exp_Shift[[Number]:[Number]],0,0), IF(_xlpm.Fin-_xlpm.Init&gt;0, _xlfn.XLOOKUP(MIN(4,_xlpm.X+_xlpm.Fin-_xlpm.Init),Exp_Shift[[Number]:[Number]],Exp_Shift[[Rating]:[Rating]],0,0),IF(_xlpm.Fin-_xlpm.Init&lt;0,_xlfn.XLOOKUP(MAX(0,_xlpm.X-1),Exp_Shift[[Number]:[Number]],Exp_Shift[[Rating]:[Rating]],0,0),R62)))</f>
        <v>M</v>
      </c>
      <c r="S154" t="str" cm="1">
        <f t="array" ref="S154">_xlfn.LET(_xlpm.Fin,_xlfn.XLOOKUP(L154,Exp_Shift[[Rating]:[Rating]],Exp_Shift[[Number]:[Number]],0,0),_xlpm.Init,_xlfn.XLOOKUP(L62,Exp_Shift[[Rating]:[Rating]],Exp_Shift[[Number]:[Number]],0,0),_xlpm.X,_xlfn.XLOOKUP(S62,Exp_Shift[[Rating]:[Rating]],Exp_Shift[[Number]:[Number]],0,0), IF(_xlpm.Fin-_xlpm.Init&gt;0, _xlfn.XLOOKUP(MIN(4,_xlpm.X+_xlpm.Fin-_xlpm.Init),Exp_Shift[[Number]:[Number]],Exp_Shift[[Rating]:[Rating]],0,0),IF(_xlpm.Fin-_xlpm.Init&lt;0,_xlfn.XLOOKUP(MAX(0,_xlpm.X-1),Exp_Shift[[Number]:[Number]],Exp_Shift[[Rating]:[Rating]],0,0),S62)))</f>
        <v>L</v>
      </c>
      <c r="T154" t="str" cm="1">
        <f t="array" ref="T154">_xlfn.LET(_xlpm.Fin,_xlfn.XLOOKUP(M154,Exp_Shift[[Rating]:[Rating]],Exp_Shift[[Number]:[Number]],0,0),_xlpm.Init,_xlfn.XLOOKUP(M62,Exp_Shift[[Rating]:[Rating]],Exp_Shift[[Number]:[Number]],0,0),_xlpm.X,_xlfn.XLOOKUP(T62,Exp_Shift[[Rating]:[Rating]],Exp_Shift[[Number]:[Number]],0,0), IF(_xlpm.Fin-_xlpm.Init&gt;0, _xlfn.XLOOKUP(MIN(4,_xlpm.X+_xlpm.Fin-_xlpm.Init),Exp_Shift[[Number]:[Number]],Exp_Shift[[Rating]:[Rating]],0,0),IF(_xlpm.Fin-_xlpm.Init&lt;0,_xlfn.XLOOKUP(MAX(0,_xlpm.X-1),Exp_Shift[[Number]:[Number]],Exp_Shift[[Rating]:[Rating]],0,0),T62)))</f>
        <v>H</v>
      </c>
      <c r="U154" t="str" cm="1">
        <f t="array" ref="U154">_xlfn.LET(_xlpm.Fin,_xlfn.XLOOKUP(N154,Exp_Shift[[Rating]:[Rating]],Exp_Shift[[Number]:[Number]],0,0),_xlpm.Init,_xlfn.XLOOKUP(N62,Exp_Shift[[Rating]:[Rating]],Exp_Shift[[Number]:[Number]],0,0),_xlpm.X,_xlfn.XLOOKUP(U62,Exp_Shift[[Rating]:[Rating]],Exp_Shift[[Number]:[Number]],0,0), IF(_xlpm.Fin-_xlpm.Init&gt;0, _xlfn.XLOOKUP(MIN(4,_xlpm.X+_xlpm.Fin-_xlpm.Init),Exp_Shift[[Number]:[Number]],Exp_Shift[[Rating]:[Rating]],0,0),IF(_xlpm.Fin-_xlpm.Init&lt;0,_xlfn.XLOOKUP(MAX(0,_xlpm.X-1),Exp_Shift[[Number]:[Number]],Exp_Shift[[Rating]:[Rating]],0,0),U62)))</f>
        <v>L</v>
      </c>
      <c r="V154" t="str" cm="1">
        <f t="array" ref="V154">_xlfn.LET(_xlpm.Fin,_xlfn.XLOOKUP(O154,Exp_Shift[[Rating]:[Rating]],Exp_Shift[[Number]:[Number]],0,0),_xlpm.Init,_xlfn.XLOOKUP(O62,Exp_Shift[[Rating]:[Rating]],Exp_Shift[[Number]:[Number]],0,0),_xlpm.X,_xlfn.XLOOKUP(V62,Exp_Shift[[Rating]:[Rating]],Exp_Shift[[Number]:[Number]],0,0), IF(_xlpm.Fin-_xlpm.Init&gt;0, _xlfn.XLOOKUP(MIN(4,_xlpm.X+_xlpm.Fin-_xlpm.Init),Exp_Shift[[Number]:[Number]],Exp_Shift[[Rating]:[Rating]],0,0),IF(_xlpm.Fin-_xlpm.Init&lt;0,_xlfn.XLOOKUP(MAX(0,_xlpm.X-1),Exp_Shift[[Number]:[Number]],Exp_Shift[[Rating]:[Rating]],0,0),V62)))</f>
        <v>E</v>
      </c>
      <c r="W154" t="str" cm="1">
        <f t="array" ref="W154">_xlfn.LET(_xlpm.Fin,_xlfn.XLOOKUP(P154,Exp_Shift[[Rating]:[Rating]],Exp_Shift[[Number]:[Number]],0,0),_xlpm.Init,_xlfn.XLOOKUP(P62,Exp_Shift[[Rating]:[Rating]],Exp_Shift[[Number]:[Number]],0,0),_xlpm.X,_xlfn.XLOOKUP(W62,Exp_Shift[[Rating]:[Rating]],Exp_Shift[[Number]:[Number]],0,0), IF(_xlpm.Fin-_xlpm.Init&gt;0, _xlfn.XLOOKUP(MIN(4,_xlpm.X+_xlpm.Fin-_xlpm.Init),Exp_Shift[[Number]:[Number]],Exp_Shift[[Rating]:[Rating]],0,0),IF(_xlpm.Fin-_xlpm.Init&lt;0,_xlfn.XLOOKUP(MAX(0,_xlpm.X-1),Exp_Shift[[Number]:[Number]],Exp_Shift[[Rating]:[Rating]],0,0),W62)))</f>
        <v>M</v>
      </c>
      <c r="X154" s="19" t="str" cm="1">
        <f t="array" ref="X154">_xlfn.LET(_xlpm.Fin,_xlfn.XLOOKUP(Q154,Exp_Shift[[Rating]:[Rating]],Exp_Shift[[Number]:[Number]],0,0),_xlpm.Init,_xlfn.XLOOKUP(Q62,Exp_Shift[[Rating]:[Rating]],Exp_Shift[[Number]:[Number]],0,0),_xlpm.X,_xlfn.XLOOKUP(X62,Exp_Shift[[Rating]:[Rating]],Exp_Shift[[Number]:[Number]],0,0), IF(_xlpm.Fin-_xlpm.Init&gt;0, _xlfn.XLOOKUP(MIN(4,_xlpm.X+_xlpm.Fin-_xlpm.Init),Exp_Shift[[Number]:[Number]],Exp_Shift[[Rating]:[Rating]],0,0),IF(_xlpm.Fin-_xlpm.Init&lt;0,_xlfn.XLOOKUP(MAX(0,_xlpm.X-1),Exp_Shift[[Number]:[Number]],Exp_Shift[[Rating]:[Rating]],0,0),X62)))</f>
        <v>M</v>
      </c>
      <c r="Y154" s="23" t="str" cm="1">
        <f t="array" ref="Y154">_xlfn.LET(_xlpm.Fin,_xlfn.XLOOKUP(K154,Exp_Shift[[Rating]:[Rating]],Exp_Shift[[Number]:[Number]],0,0),_xlpm.Init,_xlfn.XLOOKUP(K62,Exp_Shift[[Rating]:[Rating]],Exp_Shift[[Number]:[Number]],0,0),_xlpm.X,_xlfn.XLOOKUP(Y62,Exp_Shift[[Rating]:[Rating]],Exp_Shift[[Number]:[Number]],0,0), IF(_xlpm.Fin-_xlpm.Init&gt;0, _xlfn.XLOOKUP(MIN(4,_xlpm.X+1),Exp_Shift[[Number]:[Number]],Exp_Shift[[Rating]:[Rating]],0,0),IF(_xlpm.Fin-_xlpm.Init&lt;0,_xlfn.XLOOKUP(MAX(0,_xlpm.X),Exp_Shift[[Number]:[Number]],Exp_Shift[[Rating]:[Rating]],0,0),Y62)))</f>
        <v>E</v>
      </c>
      <c r="Z154" t="str" cm="1">
        <f t="array" ref="Z154">_xlfn.LET(_xlpm.Fin,_xlfn.XLOOKUP(L154,Exp_Shift[[Rating]:[Rating]],Exp_Shift[[Number]:[Number]],0,0),_xlpm.Init,_xlfn.XLOOKUP(L62,Exp_Shift[[Rating]:[Rating]],Exp_Shift[[Number]:[Number]],0,0),_xlpm.X,_xlfn.XLOOKUP(Z62,Exp_Shift[[Rating]:[Rating]],Exp_Shift[[Number]:[Number]],0,0), IF(_xlpm.Fin-_xlpm.Init&gt;0, _xlfn.XLOOKUP(MIN(4,_xlpm.X+1),Exp_Shift[[Number]:[Number]],Exp_Shift[[Rating]:[Rating]],0,0),IF(_xlpm.Fin-_xlpm.Init&lt;0,_xlfn.XLOOKUP(MAX(0,_xlpm.X),Exp_Shift[[Number]:[Number]],Exp_Shift[[Rating]:[Rating]],0,0),Z62)))</f>
        <v>H</v>
      </c>
      <c r="AA154" t="str" cm="1">
        <f t="array" ref="AA154">_xlfn.LET(_xlpm.Fin,_xlfn.XLOOKUP(M154,Exp_Shift[[Rating]:[Rating]],Exp_Shift[[Number]:[Number]],0,0),_xlpm.Init,_xlfn.XLOOKUP(M62,Exp_Shift[[Rating]:[Rating]],Exp_Shift[[Number]:[Number]],0,0),_xlpm.X,_xlfn.XLOOKUP(AA62,Exp_Shift[[Rating]:[Rating]],Exp_Shift[[Number]:[Number]],0,0), IF(_xlpm.Fin-_xlpm.Init&gt;0, _xlfn.XLOOKUP(MIN(4,_xlpm.X+1),Exp_Shift[[Number]:[Number]],Exp_Shift[[Rating]:[Rating]],0,0),IF(_xlpm.Fin-_xlpm.Init&lt;0,_xlfn.XLOOKUP(MAX(0,_xlpm.X),Exp_Shift[[Number]:[Number]],Exp_Shift[[Rating]:[Rating]],0,0),AA62)))</f>
        <v>E</v>
      </c>
      <c r="AB154" t="str" cm="1">
        <f t="array" ref="AB154">_xlfn.LET(_xlpm.Fin,_xlfn.XLOOKUP(N154,Exp_Shift[[Rating]:[Rating]],Exp_Shift[[Number]:[Number]],0,0),_xlpm.Init,_xlfn.XLOOKUP(N62,Exp_Shift[[Rating]:[Rating]],Exp_Shift[[Number]:[Number]],0,0),_xlpm.X,_xlfn.XLOOKUP(AB62,Exp_Shift[[Rating]:[Rating]],Exp_Shift[[Number]:[Number]],0,0), IF(_xlpm.Fin-_xlpm.Init&gt;0, _xlfn.XLOOKUP(MIN(4,_xlpm.X+1),Exp_Shift[[Number]:[Number]],Exp_Shift[[Rating]:[Rating]],0,0),IF(_xlpm.Fin-_xlpm.Init&lt;0,_xlfn.XLOOKUP(MAX(0,_xlpm.X),Exp_Shift[[Number]:[Number]],Exp_Shift[[Rating]:[Rating]],0,0),AB62)))</f>
        <v>M</v>
      </c>
      <c r="AC154" t="str" cm="1">
        <f t="array" ref="AC154">_xlfn.LET(_xlpm.Fin,_xlfn.XLOOKUP(O154,Exp_Shift[[Rating]:[Rating]],Exp_Shift[[Number]:[Number]],0,0),_xlpm.Init,_xlfn.XLOOKUP(O62,Exp_Shift[[Rating]:[Rating]],Exp_Shift[[Number]:[Number]],0,0),_xlpm.X,_xlfn.XLOOKUP(AC62,Exp_Shift[[Rating]:[Rating]],Exp_Shift[[Number]:[Number]],0,0), IF(_xlpm.Fin-_xlpm.Init&gt;0, _xlfn.XLOOKUP(MIN(4,_xlpm.X+1),Exp_Shift[[Number]:[Number]],Exp_Shift[[Rating]:[Rating]],0,0),IF(_xlpm.Fin-_xlpm.Init&lt;0,_xlfn.XLOOKUP(MAX(0,_xlpm.X),Exp_Shift[[Number]:[Number]],Exp_Shift[[Rating]:[Rating]],0,0),AC62)))</f>
        <v>L</v>
      </c>
      <c r="AD154" t="str" cm="1">
        <f t="array" ref="AD154">_xlfn.LET(_xlpm.Fin,_xlfn.XLOOKUP(P154,Exp_Shift[[Rating]:[Rating]],Exp_Shift[[Number]:[Number]],0,0),_xlpm.Init,_xlfn.XLOOKUP(P62,Exp_Shift[[Rating]:[Rating]],Exp_Shift[[Number]:[Number]],0,0),_xlpm.X,_xlfn.XLOOKUP(AD62,Exp_Shift[[Rating]:[Rating]],Exp_Shift[[Number]:[Number]],0,0), IF(_xlpm.Fin-_xlpm.Init&gt;0, _xlfn.XLOOKUP(MIN(4,_xlpm.X+1),Exp_Shift[[Number]:[Number]],Exp_Shift[[Rating]:[Rating]],0,0),IF(_xlpm.Fin-_xlpm.Init&lt;0,_xlfn.XLOOKUP(MAX(0,_xlpm.X),Exp_Shift[[Number]:[Number]],Exp_Shift[[Rating]:[Rating]],0,0),AD62)))</f>
        <v>H</v>
      </c>
      <c r="AE154" s="27" t="str" cm="1">
        <f t="array" ref="AE154">_xlfn.LET(_xlpm.Fin,_xlfn.XLOOKUP(Q154,Exp_Shift[[Rating]:[Rating]],Exp_Shift[[Number]:[Number]],0,0),_xlpm.Init,_xlfn.XLOOKUP(Q62,Exp_Shift[[Rating]:[Rating]],Exp_Shift[[Number]:[Number]],0,0),_xlpm.X,_xlfn.XLOOKUP(AE62,Exp_Shift[[Rating]:[Rating]],Exp_Shift[[Number]:[Number]],0,0), IF(_xlpm.Fin-_xlpm.Init&gt;0, _xlfn.XLOOKUP(MIN(4,_xlpm.X+1),Exp_Shift[[Number]:[Number]],Exp_Shift[[Rating]:[Rating]],0,0),IF(_xlpm.Fin-_xlpm.Init&lt;0,_xlfn.XLOOKUP(MAX(0,_xlpm.X),Exp_Shift[[Number]:[Number]],Exp_Shift[[Rating]:[Rating]],0,0),AE62)))</f>
        <v>H</v>
      </c>
    </row>
    <row r="155" spans="8:31" ht="18" x14ac:dyDescent="0.35">
      <c r="H155" s="26">
        <v>98</v>
      </c>
      <c r="I155" s="332" t="s">
        <v>120</v>
      </c>
      <c r="J155" s="328" t="s">
        <v>220</v>
      </c>
      <c r="K155" s="23" t="str" cm="1">
        <f t="array" ref="K155">_xlfn.SWITCH(K132,"N/A","L","L","M","M","H","H","E","E","N/A")</f>
        <v>L</v>
      </c>
      <c r="L155" t="str" cm="1">
        <f t="array" ref="L155">_xlfn.SWITCH(L132,"N/A","L","L","M","M","H","H","E","E","N/A")</f>
        <v>L</v>
      </c>
      <c r="M155" t="str" cm="1">
        <f t="array" ref="M155">_xlfn.SWITCH(M132,"N/A","L","L","M","M","H","H","E","E","N/A")</f>
        <v>M</v>
      </c>
      <c r="N155" t="str" cm="1">
        <f t="array" ref="N155">_xlfn.SWITCH(N132,"N/A","L","L","M","M","H","H","E","E","N/A")</f>
        <v>L</v>
      </c>
      <c r="O155" t="str" cm="1">
        <f t="array" ref="O155">_xlfn.SWITCH(O132,"N/A","L","L","M","M","H","H","E","E","N/A")</f>
        <v>E</v>
      </c>
      <c r="P155" t="str" cm="1">
        <f t="array" ref="P155">_xlfn.SWITCH(P132,"N/A","L","L","M","M","H","H","E","E","N/A")</f>
        <v>E</v>
      </c>
      <c r="Q155" s="19" t="str" cm="1">
        <f t="array" ref="Q155">_xlfn.SWITCH(Q132,"N/A","L","L","M","M","H","H","E","E","N/A")</f>
        <v>L</v>
      </c>
      <c r="R155" s="23" t="str" cm="1">
        <f t="array" ref="R155">_xlfn.LET(_xlpm.Fin,_xlfn.XLOOKUP(K155,Exp_Shift[[Rating]:[Rating]],Exp_Shift[[Number]:[Number]],0,0),_xlpm.Init,_xlfn.XLOOKUP(K63,Exp_Shift[[Rating]:[Rating]],Exp_Shift[[Number]:[Number]],0,0),_xlpm.X,_xlfn.XLOOKUP(R63,Exp_Shift[[Rating]:[Rating]],Exp_Shift[[Number]:[Number]],0,0), IF(_xlpm.Fin-_xlpm.Init&gt;0, _xlfn.XLOOKUP(MIN(4,_xlpm.X+_xlpm.Fin-_xlpm.Init),Exp_Shift[[Number]:[Number]],Exp_Shift[[Rating]:[Rating]],0,0),IF(_xlpm.Fin-_xlpm.Init&lt;0,_xlfn.XLOOKUP(MAX(0,_xlpm.X-1),Exp_Shift[[Number]:[Number]],Exp_Shift[[Rating]:[Rating]],0,0),R63)))</f>
        <v>M</v>
      </c>
      <c r="S155" t="str" cm="1">
        <f t="array" ref="S155">_xlfn.LET(_xlpm.Fin,_xlfn.XLOOKUP(L155,Exp_Shift[[Rating]:[Rating]],Exp_Shift[[Number]:[Number]],0,0),_xlpm.Init,_xlfn.XLOOKUP(L63,Exp_Shift[[Rating]:[Rating]],Exp_Shift[[Number]:[Number]],0,0),_xlpm.X,_xlfn.XLOOKUP(S63,Exp_Shift[[Rating]:[Rating]],Exp_Shift[[Number]:[Number]],0,0), IF(_xlpm.Fin-_xlpm.Init&gt;0, _xlfn.XLOOKUP(MIN(4,_xlpm.X+_xlpm.Fin-_xlpm.Init),Exp_Shift[[Number]:[Number]],Exp_Shift[[Rating]:[Rating]],0,0),IF(_xlpm.Fin-_xlpm.Init&lt;0,_xlfn.XLOOKUP(MAX(0,_xlpm.X-1),Exp_Shift[[Number]:[Number]],Exp_Shift[[Rating]:[Rating]],0,0),S63)))</f>
        <v>L</v>
      </c>
      <c r="T155" t="str" cm="1">
        <f t="array" ref="T155">_xlfn.LET(_xlpm.Fin,_xlfn.XLOOKUP(M155,Exp_Shift[[Rating]:[Rating]],Exp_Shift[[Number]:[Number]],0,0),_xlpm.Init,_xlfn.XLOOKUP(M63,Exp_Shift[[Rating]:[Rating]],Exp_Shift[[Number]:[Number]],0,0),_xlpm.X,_xlfn.XLOOKUP(T63,Exp_Shift[[Rating]:[Rating]],Exp_Shift[[Number]:[Number]],0,0), IF(_xlpm.Fin-_xlpm.Init&gt;0, _xlfn.XLOOKUP(MIN(4,_xlpm.X+_xlpm.Fin-_xlpm.Init),Exp_Shift[[Number]:[Number]],Exp_Shift[[Rating]:[Rating]],0,0),IF(_xlpm.Fin-_xlpm.Init&lt;0,_xlfn.XLOOKUP(MAX(0,_xlpm.X-1),Exp_Shift[[Number]:[Number]],Exp_Shift[[Rating]:[Rating]],0,0),T63)))</f>
        <v>H</v>
      </c>
      <c r="U155" t="str" cm="1">
        <f t="array" ref="U155">_xlfn.LET(_xlpm.Fin,_xlfn.XLOOKUP(N155,Exp_Shift[[Rating]:[Rating]],Exp_Shift[[Number]:[Number]],0,0),_xlpm.Init,_xlfn.XLOOKUP(N63,Exp_Shift[[Rating]:[Rating]],Exp_Shift[[Number]:[Number]],0,0),_xlpm.X,_xlfn.XLOOKUP(U63,Exp_Shift[[Rating]:[Rating]],Exp_Shift[[Number]:[Number]],0,0), IF(_xlpm.Fin-_xlpm.Init&gt;0, _xlfn.XLOOKUP(MIN(4,_xlpm.X+_xlpm.Fin-_xlpm.Init),Exp_Shift[[Number]:[Number]],Exp_Shift[[Rating]:[Rating]],0,0),IF(_xlpm.Fin-_xlpm.Init&lt;0,_xlfn.XLOOKUP(MAX(0,_xlpm.X-1),Exp_Shift[[Number]:[Number]],Exp_Shift[[Rating]:[Rating]],0,0),U63)))</f>
        <v>M</v>
      </c>
      <c r="V155" t="str" cm="1">
        <f t="array" ref="V155">_xlfn.LET(_xlpm.Fin,_xlfn.XLOOKUP(O155,Exp_Shift[[Rating]:[Rating]],Exp_Shift[[Number]:[Number]],0,0),_xlpm.Init,_xlfn.XLOOKUP(O63,Exp_Shift[[Rating]:[Rating]],Exp_Shift[[Number]:[Number]],0,0),_xlpm.X,_xlfn.XLOOKUP(V63,Exp_Shift[[Rating]:[Rating]],Exp_Shift[[Number]:[Number]],0,0), IF(_xlpm.Fin-_xlpm.Init&gt;0, _xlfn.XLOOKUP(MIN(4,_xlpm.X+_xlpm.Fin-_xlpm.Init),Exp_Shift[[Number]:[Number]],Exp_Shift[[Rating]:[Rating]],0,0),IF(_xlpm.Fin-_xlpm.Init&lt;0,_xlfn.XLOOKUP(MAX(0,_xlpm.X-1),Exp_Shift[[Number]:[Number]],Exp_Shift[[Rating]:[Rating]],0,0),V63)))</f>
        <v>E</v>
      </c>
      <c r="W155" t="str" cm="1">
        <f t="array" ref="W155">_xlfn.LET(_xlpm.Fin,_xlfn.XLOOKUP(P155,Exp_Shift[[Rating]:[Rating]],Exp_Shift[[Number]:[Number]],0,0),_xlpm.Init,_xlfn.XLOOKUP(P63,Exp_Shift[[Rating]:[Rating]],Exp_Shift[[Number]:[Number]],0,0),_xlpm.X,_xlfn.XLOOKUP(W63,Exp_Shift[[Rating]:[Rating]],Exp_Shift[[Number]:[Number]],0,0), IF(_xlpm.Fin-_xlpm.Init&gt;0, _xlfn.XLOOKUP(MIN(4,_xlpm.X+_xlpm.Fin-_xlpm.Init),Exp_Shift[[Number]:[Number]],Exp_Shift[[Rating]:[Rating]],0,0),IF(_xlpm.Fin-_xlpm.Init&lt;0,_xlfn.XLOOKUP(MAX(0,_xlpm.X-1),Exp_Shift[[Number]:[Number]],Exp_Shift[[Rating]:[Rating]],0,0),W63)))</f>
        <v>E</v>
      </c>
      <c r="X155" s="19" t="str" cm="1">
        <f t="array" ref="X155">_xlfn.LET(_xlpm.Fin,_xlfn.XLOOKUP(Q155,Exp_Shift[[Rating]:[Rating]],Exp_Shift[[Number]:[Number]],0,0),_xlpm.Init,_xlfn.XLOOKUP(Q63,Exp_Shift[[Rating]:[Rating]],Exp_Shift[[Number]:[Number]],0,0),_xlpm.X,_xlfn.XLOOKUP(X63,Exp_Shift[[Rating]:[Rating]],Exp_Shift[[Number]:[Number]],0,0), IF(_xlpm.Fin-_xlpm.Init&gt;0, _xlfn.XLOOKUP(MIN(4,_xlpm.X+_xlpm.Fin-_xlpm.Init),Exp_Shift[[Number]:[Number]],Exp_Shift[[Rating]:[Rating]],0,0),IF(_xlpm.Fin-_xlpm.Init&lt;0,_xlfn.XLOOKUP(MAX(0,_xlpm.X-1),Exp_Shift[[Number]:[Number]],Exp_Shift[[Rating]:[Rating]],0,0),X63)))</f>
        <v>M</v>
      </c>
      <c r="Y155" s="23" t="str" cm="1">
        <f t="array" ref="Y155">_xlfn.LET(_xlpm.Fin,_xlfn.XLOOKUP(K155,Exp_Shift[[Rating]:[Rating]],Exp_Shift[[Number]:[Number]],0,0),_xlpm.Init,_xlfn.XLOOKUP(K63,Exp_Shift[[Rating]:[Rating]],Exp_Shift[[Number]:[Number]],0,0),_xlpm.X,_xlfn.XLOOKUP(Y63,Exp_Shift[[Rating]:[Rating]],Exp_Shift[[Number]:[Number]],0,0), IF(_xlpm.Fin-_xlpm.Init&gt;0, _xlfn.XLOOKUP(MIN(4,_xlpm.X+1),Exp_Shift[[Number]:[Number]],Exp_Shift[[Rating]:[Rating]],0,0),IF(_xlpm.Fin-_xlpm.Init&lt;0,_xlfn.XLOOKUP(MAX(0,_xlpm.X),Exp_Shift[[Number]:[Number]],Exp_Shift[[Rating]:[Rating]],0,0),Y63)))</f>
        <v>E</v>
      </c>
      <c r="Z155" t="str" cm="1">
        <f t="array" ref="Z155">_xlfn.LET(_xlpm.Fin,_xlfn.XLOOKUP(L155,Exp_Shift[[Rating]:[Rating]],Exp_Shift[[Number]:[Number]],0,0),_xlpm.Init,_xlfn.XLOOKUP(L63,Exp_Shift[[Rating]:[Rating]],Exp_Shift[[Number]:[Number]],0,0),_xlpm.X,_xlfn.XLOOKUP(Z63,Exp_Shift[[Rating]:[Rating]],Exp_Shift[[Number]:[Number]],0,0), IF(_xlpm.Fin-_xlpm.Init&gt;0, _xlfn.XLOOKUP(MIN(4,_xlpm.X+1),Exp_Shift[[Number]:[Number]],Exp_Shift[[Rating]:[Rating]],0,0),IF(_xlpm.Fin-_xlpm.Init&lt;0,_xlfn.XLOOKUP(MAX(0,_xlpm.X),Exp_Shift[[Number]:[Number]],Exp_Shift[[Rating]:[Rating]],0,0),Z63)))</f>
        <v>H</v>
      </c>
      <c r="AA155" t="str" cm="1">
        <f t="array" ref="AA155">_xlfn.LET(_xlpm.Fin,_xlfn.XLOOKUP(M155,Exp_Shift[[Rating]:[Rating]],Exp_Shift[[Number]:[Number]],0,0),_xlpm.Init,_xlfn.XLOOKUP(M63,Exp_Shift[[Rating]:[Rating]],Exp_Shift[[Number]:[Number]],0,0),_xlpm.X,_xlfn.XLOOKUP(AA63,Exp_Shift[[Rating]:[Rating]],Exp_Shift[[Number]:[Number]],0,0), IF(_xlpm.Fin-_xlpm.Init&gt;0, _xlfn.XLOOKUP(MIN(4,_xlpm.X+1),Exp_Shift[[Number]:[Number]],Exp_Shift[[Rating]:[Rating]],0,0),IF(_xlpm.Fin-_xlpm.Init&lt;0,_xlfn.XLOOKUP(MAX(0,_xlpm.X),Exp_Shift[[Number]:[Number]],Exp_Shift[[Rating]:[Rating]],0,0),AA63)))</f>
        <v>E</v>
      </c>
      <c r="AB155" t="str" cm="1">
        <f t="array" ref="AB155">_xlfn.LET(_xlpm.Fin,_xlfn.XLOOKUP(N155,Exp_Shift[[Rating]:[Rating]],Exp_Shift[[Number]:[Number]],0,0),_xlpm.Init,_xlfn.XLOOKUP(N63,Exp_Shift[[Rating]:[Rating]],Exp_Shift[[Number]:[Number]],0,0),_xlpm.X,_xlfn.XLOOKUP(AB63,Exp_Shift[[Rating]:[Rating]],Exp_Shift[[Number]:[Number]],0,0), IF(_xlpm.Fin-_xlpm.Init&gt;0, _xlfn.XLOOKUP(MIN(4,_xlpm.X+1),Exp_Shift[[Number]:[Number]],Exp_Shift[[Rating]:[Rating]],0,0),IF(_xlpm.Fin-_xlpm.Init&lt;0,_xlfn.XLOOKUP(MAX(0,_xlpm.X),Exp_Shift[[Number]:[Number]],Exp_Shift[[Rating]:[Rating]],0,0),AB63)))</f>
        <v>E</v>
      </c>
      <c r="AC155" t="str" cm="1">
        <f t="array" ref="AC155">_xlfn.LET(_xlpm.Fin,_xlfn.XLOOKUP(O155,Exp_Shift[[Rating]:[Rating]],Exp_Shift[[Number]:[Number]],0,0),_xlpm.Init,_xlfn.XLOOKUP(O63,Exp_Shift[[Rating]:[Rating]],Exp_Shift[[Number]:[Number]],0,0),_xlpm.X,_xlfn.XLOOKUP(AC63,Exp_Shift[[Rating]:[Rating]],Exp_Shift[[Number]:[Number]],0,0), IF(_xlpm.Fin-_xlpm.Init&gt;0, _xlfn.XLOOKUP(MIN(4,_xlpm.X+1),Exp_Shift[[Number]:[Number]],Exp_Shift[[Rating]:[Rating]],0,0),IF(_xlpm.Fin-_xlpm.Init&lt;0,_xlfn.XLOOKUP(MAX(0,_xlpm.X),Exp_Shift[[Number]:[Number]],Exp_Shift[[Rating]:[Rating]],0,0),AC63)))</f>
        <v>L</v>
      </c>
      <c r="AD155" t="str" cm="1">
        <f t="array" ref="AD155">_xlfn.LET(_xlpm.Fin,_xlfn.XLOOKUP(P155,Exp_Shift[[Rating]:[Rating]],Exp_Shift[[Number]:[Number]],0,0),_xlpm.Init,_xlfn.XLOOKUP(P63,Exp_Shift[[Rating]:[Rating]],Exp_Shift[[Number]:[Number]],0,0),_xlpm.X,_xlfn.XLOOKUP(AD63,Exp_Shift[[Rating]:[Rating]],Exp_Shift[[Number]:[Number]],0,0), IF(_xlpm.Fin-_xlpm.Init&gt;0, _xlfn.XLOOKUP(MIN(4,_xlpm.X+1),Exp_Shift[[Number]:[Number]],Exp_Shift[[Rating]:[Rating]],0,0),IF(_xlpm.Fin-_xlpm.Init&lt;0,_xlfn.XLOOKUP(MAX(0,_xlpm.X),Exp_Shift[[Number]:[Number]],Exp_Shift[[Rating]:[Rating]],0,0),AD63)))</f>
        <v>L</v>
      </c>
      <c r="AE155" s="27" t="str" cm="1">
        <f t="array" ref="AE155">_xlfn.LET(_xlpm.Fin,_xlfn.XLOOKUP(Q155,Exp_Shift[[Rating]:[Rating]],Exp_Shift[[Number]:[Number]],0,0),_xlpm.Init,_xlfn.XLOOKUP(Q63,Exp_Shift[[Rating]:[Rating]],Exp_Shift[[Number]:[Number]],0,0),_xlpm.X,_xlfn.XLOOKUP(AE63,Exp_Shift[[Rating]:[Rating]],Exp_Shift[[Number]:[Number]],0,0), IF(_xlpm.Fin-_xlpm.Init&gt;0, _xlfn.XLOOKUP(MIN(4,_xlpm.X+1),Exp_Shift[[Number]:[Number]],Exp_Shift[[Rating]:[Rating]],0,0),IF(_xlpm.Fin-_xlpm.Init&lt;0,_xlfn.XLOOKUP(MAX(0,_xlpm.X),Exp_Shift[[Number]:[Number]],Exp_Shift[[Rating]:[Rating]],0,0),AE63)))</f>
        <v>H</v>
      </c>
    </row>
    <row r="156" spans="8:31" ht="18" x14ac:dyDescent="0.35">
      <c r="H156" s="26">
        <v>99</v>
      </c>
      <c r="I156" s="332" t="s">
        <v>120</v>
      </c>
      <c r="J156" s="328" t="s">
        <v>67</v>
      </c>
      <c r="K156" s="23" t="str" cm="1">
        <f t="array" ref="K156">_xlfn.SWITCH(K133,"N/A","L","L","M","M","H","H","E","E","N/A")</f>
        <v>N/A</v>
      </c>
      <c r="L156" t="str" cm="1">
        <f t="array" ref="L156">_xlfn.SWITCH(L133,"N/A","L","L","M","M","H","H","E","E","N/A")</f>
        <v>L</v>
      </c>
      <c r="M156" t="str" cm="1">
        <f t="array" ref="M156">_xlfn.SWITCH(M133,"N/A","L","L","M","M","H","H","E","E","N/A")</f>
        <v>M</v>
      </c>
      <c r="N156" t="str" cm="1">
        <f t="array" ref="N156">_xlfn.SWITCH(N133,"N/A","L","L","M","M","H","H","E","E","N/A")</f>
        <v>N/A</v>
      </c>
      <c r="O156" t="str" cm="1">
        <f t="array" ref="O156">_xlfn.SWITCH(O133,"N/A","L","L","M","M","H","H","E","E","N/A")</f>
        <v>E</v>
      </c>
      <c r="P156" t="str" cm="1">
        <f t="array" ref="P156">_xlfn.SWITCH(P133,"N/A","L","L","M","M","H","H","E","E","N/A")</f>
        <v>E</v>
      </c>
      <c r="Q156" s="19" t="str" cm="1">
        <f t="array" ref="Q156">_xlfn.SWITCH(Q133,"N/A","L","L","M","M","H","H","E","E","N/A")</f>
        <v>N/A</v>
      </c>
      <c r="R156" s="23" t="str" cm="1">
        <f t="array" ref="R156">_xlfn.LET(_xlpm.Fin,_xlfn.XLOOKUP(K156,Exp_Shift[[Rating]:[Rating]],Exp_Shift[[Number]:[Number]],0,0),_xlpm.Init,_xlfn.XLOOKUP(K64,Exp_Shift[[Rating]:[Rating]],Exp_Shift[[Number]:[Number]],0,0),_xlpm.X,_xlfn.XLOOKUP(R64,Exp_Shift[[Rating]:[Rating]],Exp_Shift[[Number]:[Number]],0,0), IF(_xlpm.Fin-_xlpm.Init&gt;0, _xlfn.XLOOKUP(MIN(4,_xlpm.X+_xlpm.Fin-_xlpm.Init),Exp_Shift[[Number]:[Number]],Exp_Shift[[Rating]:[Rating]],0,0),IF(_xlpm.Fin-_xlpm.Init&lt;0,_xlfn.XLOOKUP(MAX(0,_xlpm.X-1),Exp_Shift[[Number]:[Number]],Exp_Shift[[Rating]:[Rating]],0,0),R64)))</f>
        <v>N/A</v>
      </c>
      <c r="S156" t="str" cm="1">
        <f t="array" ref="S156">_xlfn.LET(_xlpm.Fin,_xlfn.XLOOKUP(L156,Exp_Shift[[Rating]:[Rating]],Exp_Shift[[Number]:[Number]],0,0),_xlpm.Init,_xlfn.XLOOKUP(L64,Exp_Shift[[Rating]:[Rating]],Exp_Shift[[Number]:[Number]],0,0),_xlpm.X,_xlfn.XLOOKUP(S64,Exp_Shift[[Rating]:[Rating]],Exp_Shift[[Number]:[Number]],0,0), IF(_xlpm.Fin-_xlpm.Init&gt;0, _xlfn.XLOOKUP(MIN(4,_xlpm.X+_xlpm.Fin-_xlpm.Init),Exp_Shift[[Number]:[Number]],Exp_Shift[[Rating]:[Rating]],0,0),IF(_xlpm.Fin-_xlpm.Init&lt;0,_xlfn.XLOOKUP(MAX(0,_xlpm.X-1),Exp_Shift[[Number]:[Number]],Exp_Shift[[Rating]:[Rating]],0,0),S64)))</f>
        <v>L</v>
      </c>
      <c r="T156" t="str" cm="1">
        <f t="array" ref="T156">_xlfn.LET(_xlpm.Fin,_xlfn.XLOOKUP(M156,Exp_Shift[[Rating]:[Rating]],Exp_Shift[[Number]:[Number]],0,0),_xlpm.Init,_xlfn.XLOOKUP(M64,Exp_Shift[[Rating]:[Rating]],Exp_Shift[[Number]:[Number]],0,0),_xlpm.X,_xlfn.XLOOKUP(T64,Exp_Shift[[Rating]:[Rating]],Exp_Shift[[Number]:[Number]],0,0), IF(_xlpm.Fin-_xlpm.Init&gt;0, _xlfn.XLOOKUP(MIN(4,_xlpm.X+_xlpm.Fin-_xlpm.Init),Exp_Shift[[Number]:[Number]],Exp_Shift[[Rating]:[Rating]],0,0),IF(_xlpm.Fin-_xlpm.Init&lt;0,_xlfn.XLOOKUP(MAX(0,_xlpm.X-1),Exp_Shift[[Number]:[Number]],Exp_Shift[[Rating]:[Rating]],0,0),T64)))</f>
        <v>H</v>
      </c>
      <c r="U156" t="str" cm="1">
        <f t="array" ref="U156">_xlfn.LET(_xlpm.Fin,_xlfn.XLOOKUP(N156,Exp_Shift[[Rating]:[Rating]],Exp_Shift[[Number]:[Number]],0,0),_xlpm.Init,_xlfn.XLOOKUP(N64,Exp_Shift[[Rating]:[Rating]],Exp_Shift[[Number]:[Number]],0,0),_xlpm.X,_xlfn.XLOOKUP(U64,Exp_Shift[[Rating]:[Rating]],Exp_Shift[[Number]:[Number]],0,0), IF(_xlpm.Fin-_xlpm.Init&gt;0, _xlfn.XLOOKUP(MIN(4,_xlpm.X+_xlpm.Fin-_xlpm.Init),Exp_Shift[[Number]:[Number]],Exp_Shift[[Rating]:[Rating]],0,0),IF(_xlpm.Fin-_xlpm.Init&lt;0,_xlfn.XLOOKUP(MAX(0,_xlpm.X-1),Exp_Shift[[Number]:[Number]],Exp_Shift[[Rating]:[Rating]],0,0),U64)))</f>
        <v>L</v>
      </c>
      <c r="V156" t="str" cm="1">
        <f t="array" ref="V156">_xlfn.LET(_xlpm.Fin,_xlfn.XLOOKUP(O156,Exp_Shift[[Rating]:[Rating]],Exp_Shift[[Number]:[Number]],0,0),_xlpm.Init,_xlfn.XLOOKUP(O64,Exp_Shift[[Rating]:[Rating]],Exp_Shift[[Number]:[Number]],0,0),_xlpm.X,_xlfn.XLOOKUP(V64,Exp_Shift[[Rating]:[Rating]],Exp_Shift[[Number]:[Number]],0,0), IF(_xlpm.Fin-_xlpm.Init&gt;0, _xlfn.XLOOKUP(MIN(4,_xlpm.X+_xlpm.Fin-_xlpm.Init),Exp_Shift[[Number]:[Number]],Exp_Shift[[Rating]:[Rating]],0,0),IF(_xlpm.Fin-_xlpm.Init&lt;0,_xlfn.XLOOKUP(MAX(0,_xlpm.X-1),Exp_Shift[[Number]:[Number]],Exp_Shift[[Rating]:[Rating]],0,0),V64)))</f>
        <v>E</v>
      </c>
      <c r="W156" t="str" cm="1">
        <f t="array" ref="W156">_xlfn.LET(_xlpm.Fin,_xlfn.XLOOKUP(P156,Exp_Shift[[Rating]:[Rating]],Exp_Shift[[Number]:[Number]],0,0),_xlpm.Init,_xlfn.XLOOKUP(P64,Exp_Shift[[Rating]:[Rating]],Exp_Shift[[Number]:[Number]],0,0),_xlpm.X,_xlfn.XLOOKUP(W64,Exp_Shift[[Rating]:[Rating]],Exp_Shift[[Number]:[Number]],0,0), IF(_xlpm.Fin-_xlpm.Init&gt;0, _xlfn.XLOOKUP(MIN(4,_xlpm.X+_xlpm.Fin-_xlpm.Init),Exp_Shift[[Number]:[Number]],Exp_Shift[[Rating]:[Rating]],0,0),IF(_xlpm.Fin-_xlpm.Init&lt;0,_xlfn.XLOOKUP(MAX(0,_xlpm.X-1),Exp_Shift[[Number]:[Number]],Exp_Shift[[Rating]:[Rating]],0,0),W64)))</f>
        <v>E</v>
      </c>
      <c r="X156" s="19" t="str" cm="1">
        <f t="array" ref="X156">_xlfn.LET(_xlpm.Fin,_xlfn.XLOOKUP(Q156,Exp_Shift[[Rating]:[Rating]],Exp_Shift[[Number]:[Number]],0,0),_xlpm.Init,_xlfn.XLOOKUP(Q64,Exp_Shift[[Rating]:[Rating]],Exp_Shift[[Number]:[Number]],0,0),_xlpm.X,_xlfn.XLOOKUP(X64,Exp_Shift[[Rating]:[Rating]],Exp_Shift[[Number]:[Number]],0,0), IF(_xlpm.Fin-_xlpm.Init&gt;0, _xlfn.XLOOKUP(MIN(4,_xlpm.X+_xlpm.Fin-_xlpm.Init),Exp_Shift[[Number]:[Number]],Exp_Shift[[Rating]:[Rating]],0,0),IF(_xlpm.Fin-_xlpm.Init&lt;0,_xlfn.XLOOKUP(MAX(0,_xlpm.X-1),Exp_Shift[[Number]:[Number]],Exp_Shift[[Rating]:[Rating]],0,0),X64)))</f>
        <v>N/A</v>
      </c>
      <c r="Y156" s="23" t="str" cm="1">
        <f t="array" ref="Y156">_xlfn.LET(_xlpm.Fin,_xlfn.XLOOKUP(K156,Exp_Shift[[Rating]:[Rating]],Exp_Shift[[Number]:[Number]],0,0),_xlpm.Init,_xlfn.XLOOKUP(K64,Exp_Shift[[Rating]:[Rating]],Exp_Shift[[Number]:[Number]],0,0),_xlpm.X,_xlfn.XLOOKUP(Y64,Exp_Shift[[Rating]:[Rating]],Exp_Shift[[Number]:[Number]],0,0), IF(_xlpm.Fin-_xlpm.Init&gt;0, _xlfn.XLOOKUP(MIN(4,_xlpm.X+1),Exp_Shift[[Number]:[Number]],Exp_Shift[[Rating]:[Rating]],0,0),IF(_xlpm.Fin-_xlpm.Init&lt;0,_xlfn.XLOOKUP(MAX(0,_xlpm.X),Exp_Shift[[Number]:[Number]],Exp_Shift[[Rating]:[Rating]],0,0),Y64)))</f>
        <v>M</v>
      </c>
      <c r="Z156" t="str" cm="1">
        <f t="array" ref="Z156">_xlfn.LET(_xlpm.Fin,_xlfn.XLOOKUP(L156,Exp_Shift[[Rating]:[Rating]],Exp_Shift[[Number]:[Number]],0,0),_xlpm.Init,_xlfn.XLOOKUP(L64,Exp_Shift[[Rating]:[Rating]],Exp_Shift[[Number]:[Number]],0,0),_xlpm.X,_xlfn.XLOOKUP(Z64,Exp_Shift[[Rating]:[Rating]],Exp_Shift[[Number]:[Number]],0,0), IF(_xlpm.Fin-_xlpm.Init&gt;0, _xlfn.XLOOKUP(MIN(4,_xlpm.X+1),Exp_Shift[[Number]:[Number]],Exp_Shift[[Rating]:[Rating]],0,0),IF(_xlpm.Fin-_xlpm.Init&lt;0,_xlfn.XLOOKUP(MAX(0,_xlpm.X),Exp_Shift[[Number]:[Number]],Exp_Shift[[Rating]:[Rating]],0,0),Z64)))</f>
        <v>H</v>
      </c>
      <c r="AA156" t="str" cm="1">
        <f t="array" ref="AA156">_xlfn.LET(_xlpm.Fin,_xlfn.XLOOKUP(M156,Exp_Shift[[Rating]:[Rating]],Exp_Shift[[Number]:[Number]],0,0),_xlpm.Init,_xlfn.XLOOKUP(M64,Exp_Shift[[Rating]:[Rating]],Exp_Shift[[Number]:[Number]],0,0),_xlpm.X,_xlfn.XLOOKUP(AA64,Exp_Shift[[Rating]:[Rating]],Exp_Shift[[Number]:[Number]],0,0), IF(_xlpm.Fin-_xlpm.Init&gt;0, _xlfn.XLOOKUP(MIN(4,_xlpm.X+1),Exp_Shift[[Number]:[Number]],Exp_Shift[[Rating]:[Rating]],0,0),IF(_xlpm.Fin-_xlpm.Init&lt;0,_xlfn.XLOOKUP(MAX(0,_xlpm.X),Exp_Shift[[Number]:[Number]],Exp_Shift[[Rating]:[Rating]],0,0),AA64)))</f>
        <v>E</v>
      </c>
      <c r="AB156" t="str" cm="1">
        <f t="array" ref="AB156">_xlfn.LET(_xlpm.Fin,_xlfn.XLOOKUP(N156,Exp_Shift[[Rating]:[Rating]],Exp_Shift[[Number]:[Number]],0,0),_xlpm.Init,_xlfn.XLOOKUP(N64,Exp_Shift[[Rating]:[Rating]],Exp_Shift[[Number]:[Number]],0,0),_xlpm.X,_xlfn.XLOOKUP(AB64,Exp_Shift[[Rating]:[Rating]],Exp_Shift[[Number]:[Number]],0,0), IF(_xlpm.Fin-_xlpm.Init&gt;0, _xlfn.XLOOKUP(MIN(4,_xlpm.X+1),Exp_Shift[[Number]:[Number]],Exp_Shift[[Rating]:[Rating]],0,0),IF(_xlpm.Fin-_xlpm.Init&lt;0,_xlfn.XLOOKUP(MAX(0,_xlpm.X),Exp_Shift[[Number]:[Number]],Exp_Shift[[Rating]:[Rating]],0,0),AB64)))</f>
        <v>M</v>
      </c>
      <c r="AC156" t="str" cm="1">
        <f t="array" ref="AC156">_xlfn.LET(_xlpm.Fin,_xlfn.XLOOKUP(O156,Exp_Shift[[Rating]:[Rating]],Exp_Shift[[Number]:[Number]],0,0),_xlpm.Init,_xlfn.XLOOKUP(O64,Exp_Shift[[Rating]:[Rating]],Exp_Shift[[Number]:[Number]],0,0),_xlpm.X,_xlfn.XLOOKUP(AC64,Exp_Shift[[Rating]:[Rating]],Exp_Shift[[Number]:[Number]],0,0), IF(_xlpm.Fin-_xlpm.Init&gt;0, _xlfn.XLOOKUP(MIN(4,_xlpm.X+1),Exp_Shift[[Number]:[Number]],Exp_Shift[[Rating]:[Rating]],0,0),IF(_xlpm.Fin-_xlpm.Init&lt;0,_xlfn.XLOOKUP(MAX(0,_xlpm.X),Exp_Shift[[Number]:[Number]],Exp_Shift[[Rating]:[Rating]],0,0),AC64)))</f>
        <v>L</v>
      </c>
      <c r="AD156" t="str" cm="1">
        <f t="array" ref="AD156">_xlfn.LET(_xlpm.Fin,_xlfn.XLOOKUP(P156,Exp_Shift[[Rating]:[Rating]],Exp_Shift[[Number]:[Number]],0,0),_xlpm.Init,_xlfn.XLOOKUP(P64,Exp_Shift[[Rating]:[Rating]],Exp_Shift[[Number]:[Number]],0,0),_xlpm.X,_xlfn.XLOOKUP(AD64,Exp_Shift[[Rating]:[Rating]],Exp_Shift[[Number]:[Number]],0,0), IF(_xlpm.Fin-_xlpm.Init&gt;0, _xlfn.XLOOKUP(MIN(4,_xlpm.X+1),Exp_Shift[[Number]:[Number]],Exp_Shift[[Rating]:[Rating]],0,0),IF(_xlpm.Fin-_xlpm.Init&lt;0,_xlfn.XLOOKUP(MAX(0,_xlpm.X),Exp_Shift[[Number]:[Number]],Exp_Shift[[Rating]:[Rating]],0,0),AD64)))</f>
        <v>L</v>
      </c>
      <c r="AE156" s="27" t="str" cm="1">
        <f t="array" ref="AE156">_xlfn.LET(_xlpm.Fin,_xlfn.XLOOKUP(Q156,Exp_Shift[[Rating]:[Rating]],Exp_Shift[[Number]:[Number]],0,0),_xlpm.Init,_xlfn.XLOOKUP(Q64,Exp_Shift[[Rating]:[Rating]],Exp_Shift[[Number]:[Number]],0,0),_xlpm.X,_xlfn.XLOOKUP(AE64,Exp_Shift[[Rating]:[Rating]],Exp_Shift[[Number]:[Number]],0,0), IF(_xlpm.Fin-_xlpm.Init&gt;0, _xlfn.XLOOKUP(MIN(4,_xlpm.X+1),Exp_Shift[[Number]:[Number]],Exp_Shift[[Rating]:[Rating]],0,0),IF(_xlpm.Fin-_xlpm.Init&lt;0,_xlfn.XLOOKUP(MAX(0,_xlpm.X),Exp_Shift[[Number]:[Number]],Exp_Shift[[Rating]:[Rating]],0,0),AE64)))</f>
        <v>H</v>
      </c>
    </row>
    <row r="157" spans="8:31" ht="18" x14ac:dyDescent="0.35">
      <c r="H157" s="26">
        <v>100</v>
      </c>
      <c r="I157" s="332" t="s">
        <v>120</v>
      </c>
      <c r="J157" s="328" t="s">
        <v>121</v>
      </c>
      <c r="K157" s="23" t="str" cm="1">
        <f t="array" ref="K157">_xlfn.SWITCH(K134,"N/A","L","L","M","M","H","H","E","E","N/A")</f>
        <v>N/A</v>
      </c>
      <c r="L157" t="str" cm="1">
        <f t="array" ref="L157">_xlfn.SWITCH(L134,"N/A","L","L","M","M","H","H","E","E","N/A")</f>
        <v>L</v>
      </c>
      <c r="M157" t="str" cm="1">
        <f t="array" ref="M157">_xlfn.SWITCH(M134,"N/A","L","L","M","M","H","H","E","E","N/A")</f>
        <v>M</v>
      </c>
      <c r="N157" t="str" cm="1">
        <f t="array" ref="N157">_xlfn.SWITCH(N134,"N/A","L","L","M","M","H","H","E","E","N/A")</f>
        <v>N/A</v>
      </c>
      <c r="O157" t="str" cm="1">
        <f t="array" ref="O157">_xlfn.SWITCH(O134,"N/A","L","L","M","M","H","H","E","E","N/A")</f>
        <v>E</v>
      </c>
      <c r="P157" t="str" cm="1">
        <f t="array" ref="P157">_xlfn.SWITCH(P134,"N/A","L","L","M","M","H","H","E","E","N/A")</f>
        <v>E</v>
      </c>
      <c r="Q157" s="19" t="str" cm="1">
        <f t="array" ref="Q157">_xlfn.SWITCH(Q134,"N/A","L","L","M","M","H","H","E","E","N/A")</f>
        <v>L</v>
      </c>
      <c r="R157" s="23" t="str" cm="1">
        <f t="array" ref="R157">_xlfn.LET(_xlpm.Fin,_xlfn.XLOOKUP(K157,Exp_Shift[[Rating]:[Rating]],Exp_Shift[[Number]:[Number]],0,0),_xlpm.Init,_xlfn.XLOOKUP(K65,Exp_Shift[[Rating]:[Rating]],Exp_Shift[[Number]:[Number]],0,0),_xlpm.X,_xlfn.XLOOKUP(R65,Exp_Shift[[Rating]:[Rating]],Exp_Shift[[Number]:[Number]],0,0), IF(_xlpm.Fin-_xlpm.Init&gt;0, _xlfn.XLOOKUP(MIN(4,_xlpm.X+_xlpm.Fin-_xlpm.Init),Exp_Shift[[Number]:[Number]],Exp_Shift[[Rating]:[Rating]],0,0),IF(_xlpm.Fin-_xlpm.Init&lt;0,_xlfn.XLOOKUP(MAX(0,_xlpm.X-1),Exp_Shift[[Number]:[Number]],Exp_Shift[[Rating]:[Rating]],0,0),R65)))</f>
        <v>N/A</v>
      </c>
      <c r="S157" t="str" cm="1">
        <f t="array" ref="S157">_xlfn.LET(_xlpm.Fin,_xlfn.XLOOKUP(L157,Exp_Shift[[Rating]:[Rating]],Exp_Shift[[Number]:[Number]],0,0),_xlpm.Init,_xlfn.XLOOKUP(L65,Exp_Shift[[Rating]:[Rating]],Exp_Shift[[Number]:[Number]],0,0),_xlpm.X,_xlfn.XLOOKUP(S65,Exp_Shift[[Rating]:[Rating]],Exp_Shift[[Number]:[Number]],0,0), IF(_xlpm.Fin-_xlpm.Init&gt;0, _xlfn.XLOOKUP(MIN(4,_xlpm.X+_xlpm.Fin-_xlpm.Init),Exp_Shift[[Number]:[Number]],Exp_Shift[[Rating]:[Rating]],0,0),IF(_xlpm.Fin-_xlpm.Init&lt;0,_xlfn.XLOOKUP(MAX(0,_xlpm.X-1),Exp_Shift[[Number]:[Number]],Exp_Shift[[Rating]:[Rating]],0,0),S65)))</f>
        <v>L</v>
      </c>
      <c r="T157" t="str" cm="1">
        <f t="array" ref="T157">_xlfn.LET(_xlpm.Fin,_xlfn.XLOOKUP(M157,Exp_Shift[[Rating]:[Rating]],Exp_Shift[[Number]:[Number]],0,0),_xlpm.Init,_xlfn.XLOOKUP(M65,Exp_Shift[[Rating]:[Rating]],Exp_Shift[[Number]:[Number]],0,0),_xlpm.X,_xlfn.XLOOKUP(T65,Exp_Shift[[Rating]:[Rating]],Exp_Shift[[Number]:[Number]],0,0), IF(_xlpm.Fin-_xlpm.Init&gt;0, _xlfn.XLOOKUP(MIN(4,_xlpm.X+_xlpm.Fin-_xlpm.Init),Exp_Shift[[Number]:[Number]],Exp_Shift[[Rating]:[Rating]],0,0),IF(_xlpm.Fin-_xlpm.Init&lt;0,_xlfn.XLOOKUP(MAX(0,_xlpm.X-1),Exp_Shift[[Number]:[Number]],Exp_Shift[[Rating]:[Rating]],0,0),T65)))</f>
        <v>H</v>
      </c>
      <c r="U157" t="str" cm="1">
        <f t="array" ref="U157">_xlfn.LET(_xlpm.Fin,_xlfn.XLOOKUP(N157,Exp_Shift[[Rating]:[Rating]],Exp_Shift[[Number]:[Number]],0,0),_xlpm.Init,_xlfn.XLOOKUP(N65,Exp_Shift[[Rating]:[Rating]],Exp_Shift[[Number]:[Number]],0,0),_xlpm.X,_xlfn.XLOOKUP(U65,Exp_Shift[[Rating]:[Rating]],Exp_Shift[[Number]:[Number]],0,0), IF(_xlpm.Fin-_xlpm.Init&gt;0, _xlfn.XLOOKUP(MIN(4,_xlpm.X+_xlpm.Fin-_xlpm.Init),Exp_Shift[[Number]:[Number]],Exp_Shift[[Rating]:[Rating]],0,0),IF(_xlpm.Fin-_xlpm.Init&lt;0,_xlfn.XLOOKUP(MAX(0,_xlpm.X-1),Exp_Shift[[Number]:[Number]],Exp_Shift[[Rating]:[Rating]],0,0),U65)))</f>
        <v>L</v>
      </c>
      <c r="V157" t="str" cm="1">
        <f t="array" ref="V157">_xlfn.LET(_xlpm.Fin,_xlfn.XLOOKUP(O157,Exp_Shift[[Rating]:[Rating]],Exp_Shift[[Number]:[Number]],0,0),_xlpm.Init,_xlfn.XLOOKUP(O65,Exp_Shift[[Rating]:[Rating]],Exp_Shift[[Number]:[Number]],0,0),_xlpm.X,_xlfn.XLOOKUP(V65,Exp_Shift[[Rating]:[Rating]],Exp_Shift[[Number]:[Number]],0,0), IF(_xlpm.Fin-_xlpm.Init&gt;0, _xlfn.XLOOKUP(MIN(4,_xlpm.X+_xlpm.Fin-_xlpm.Init),Exp_Shift[[Number]:[Number]],Exp_Shift[[Rating]:[Rating]],0,0),IF(_xlpm.Fin-_xlpm.Init&lt;0,_xlfn.XLOOKUP(MAX(0,_xlpm.X-1),Exp_Shift[[Number]:[Number]],Exp_Shift[[Rating]:[Rating]],0,0),V65)))</f>
        <v>E</v>
      </c>
      <c r="W157" t="str" cm="1">
        <f t="array" ref="W157">_xlfn.LET(_xlpm.Fin,_xlfn.XLOOKUP(P157,Exp_Shift[[Rating]:[Rating]],Exp_Shift[[Number]:[Number]],0,0),_xlpm.Init,_xlfn.XLOOKUP(P65,Exp_Shift[[Rating]:[Rating]],Exp_Shift[[Number]:[Number]],0,0),_xlpm.X,_xlfn.XLOOKUP(W65,Exp_Shift[[Rating]:[Rating]],Exp_Shift[[Number]:[Number]],0,0), IF(_xlpm.Fin-_xlpm.Init&gt;0, _xlfn.XLOOKUP(MIN(4,_xlpm.X+_xlpm.Fin-_xlpm.Init),Exp_Shift[[Number]:[Number]],Exp_Shift[[Rating]:[Rating]],0,0),IF(_xlpm.Fin-_xlpm.Init&lt;0,_xlfn.XLOOKUP(MAX(0,_xlpm.X-1),Exp_Shift[[Number]:[Number]],Exp_Shift[[Rating]:[Rating]],0,0),W65)))</f>
        <v>E</v>
      </c>
      <c r="X157" s="19" t="str" cm="1">
        <f t="array" ref="X157">_xlfn.LET(_xlpm.Fin,_xlfn.XLOOKUP(Q157,Exp_Shift[[Rating]:[Rating]],Exp_Shift[[Number]:[Number]],0,0),_xlpm.Init,_xlfn.XLOOKUP(Q65,Exp_Shift[[Rating]:[Rating]],Exp_Shift[[Number]:[Number]],0,0),_xlpm.X,_xlfn.XLOOKUP(X65,Exp_Shift[[Rating]:[Rating]],Exp_Shift[[Number]:[Number]],0,0), IF(_xlpm.Fin-_xlpm.Init&gt;0, _xlfn.XLOOKUP(MIN(4,_xlpm.X+_xlpm.Fin-_xlpm.Init),Exp_Shift[[Number]:[Number]],Exp_Shift[[Rating]:[Rating]],0,0),IF(_xlpm.Fin-_xlpm.Init&lt;0,_xlfn.XLOOKUP(MAX(0,_xlpm.X-1),Exp_Shift[[Number]:[Number]],Exp_Shift[[Rating]:[Rating]],0,0),X65)))</f>
        <v>M</v>
      </c>
      <c r="Y157" s="23" t="str" cm="1">
        <f t="array" ref="Y157">_xlfn.LET(_xlpm.Fin,_xlfn.XLOOKUP(K157,Exp_Shift[[Rating]:[Rating]],Exp_Shift[[Number]:[Number]],0,0),_xlpm.Init,_xlfn.XLOOKUP(K65,Exp_Shift[[Rating]:[Rating]],Exp_Shift[[Number]:[Number]],0,0),_xlpm.X,_xlfn.XLOOKUP(Y65,Exp_Shift[[Rating]:[Rating]],Exp_Shift[[Number]:[Number]],0,0), IF(_xlpm.Fin-_xlpm.Init&gt;0, _xlfn.XLOOKUP(MIN(4,_xlpm.X+1),Exp_Shift[[Number]:[Number]],Exp_Shift[[Rating]:[Rating]],0,0),IF(_xlpm.Fin-_xlpm.Init&lt;0,_xlfn.XLOOKUP(MAX(0,_xlpm.X),Exp_Shift[[Number]:[Number]],Exp_Shift[[Rating]:[Rating]],0,0),Y65)))</f>
        <v>H</v>
      </c>
      <c r="Z157" t="str" cm="1">
        <f t="array" ref="Z157">_xlfn.LET(_xlpm.Fin,_xlfn.XLOOKUP(L157,Exp_Shift[[Rating]:[Rating]],Exp_Shift[[Number]:[Number]],0,0),_xlpm.Init,_xlfn.XLOOKUP(L65,Exp_Shift[[Rating]:[Rating]],Exp_Shift[[Number]:[Number]],0,0),_xlpm.X,_xlfn.XLOOKUP(Z65,Exp_Shift[[Rating]:[Rating]],Exp_Shift[[Number]:[Number]],0,0), IF(_xlpm.Fin-_xlpm.Init&gt;0, _xlfn.XLOOKUP(MIN(4,_xlpm.X+1),Exp_Shift[[Number]:[Number]],Exp_Shift[[Rating]:[Rating]],0,0),IF(_xlpm.Fin-_xlpm.Init&lt;0,_xlfn.XLOOKUP(MAX(0,_xlpm.X),Exp_Shift[[Number]:[Number]],Exp_Shift[[Rating]:[Rating]],0,0),Z65)))</f>
        <v>H</v>
      </c>
      <c r="AA157" t="str" cm="1">
        <f t="array" ref="AA157">_xlfn.LET(_xlpm.Fin,_xlfn.XLOOKUP(M157,Exp_Shift[[Rating]:[Rating]],Exp_Shift[[Number]:[Number]],0,0),_xlpm.Init,_xlfn.XLOOKUP(M65,Exp_Shift[[Rating]:[Rating]],Exp_Shift[[Number]:[Number]],0,0),_xlpm.X,_xlfn.XLOOKUP(AA65,Exp_Shift[[Rating]:[Rating]],Exp_Shift[[Number]:[Number]],0,0), IF(_xlpm.Fin-_xlpm.Init&gt;0, _xlfn.XLOOKUP(MIN(4,_xlpm.X+1),Exp_Shift[[Number]:[Number]],Exp_Shift[[Rating]:[Rating]],0,0),IF(_xlpm.Fin-_xlpm.Init&lt;0,_xlfn.XLOOKUP(MAX(0,_xlpm.X),Exp_Shift[[Number]:[Number]],Exp_Shift[[Rating]:[Rating]],0,0),AA65)))</f>
        <v>E</v>
      </c>
      <c r="AB157" t="str" cm="1">
        <f t="array" ref="AB157">_xlfn.LET(_xlpm.Fin,_xlfn.XLOOKUP(N157,Exp_Shift[[Rating]:[Rating]],Exp_Shift[[Number]:[Number]],0,0),_xlpm.Init,_xlfn.XLOOKUP(N65,Exp_Shift[[Rating]:[Rating]],Exp_Shift[[Number]:[Number]],0,0),_xlpm.X,_xlfn.XLOOKUP(AB65,Exp_Shift[[Rating]:[Rating]],Exp_Shift[[Number]:[Number]],0,0), IF(_xlpm.Fin-_xlpm.Init&gt;0, _xlfn.XLOOKUP(MIN(4,_xlpm.X+1),Exp_Shift[[Number]:[Number]],Exp_Shift[[Rating]:[Rating]],0,0),IF(_xlpm.Fin-_xlpm.Init&lt;0,_xlfn.XLOOKUP(MAX(0,_xlpm.X),Exp_Shift[[Number]:[Number]],Exp_Shift[[Rating]:[Rating]],0,0),AB65)))</f>
        <v>M</v>
      </c>
      <c r="AC157" t="str" cm="1">
        <f t="array" ref="AC157">_xlfn.LET(_xlpm.Fin,_xlfn.XLOOKUP(O157,Exp_Shift[[Rating]:[Rating]],Exp_Shift[[Number]:[Number]],0,0),_xlpm.Init,_xlfn.XLOOKUP(O65,Exp_Shift[[Rating]:[Rating]],Exp_Shift[[Number]:[Number]],0,0),_xlpm.X,_xlfn.XLOOKUP(AC65,Exp_Shift[[Rating]:[Rating]],Exp_Shift[[Number]:[Number]],0,0), IF(_xlpm.Fin-_xlpm.Init&gt;0, _xlfn.XLOOKUP(MIN(4,_xlpm.X+1),Exp_Shift[[Number]:[Number]],Exp_Shift[[Rating]:[Rating]],0,0),IF(_xlpm.Fin-_xlpm.Init&lt;0,_xlfn.XLOOKUP(MAX(0,_xlpm.X),Exp_Shift[[Number]:[Number]],Exp_Shift[[Rating]:[Rating]],0,0),AC65)))</f>
        <v>L</v>
      </c>
      <c r="AD157" t="str" cm="1">
        <f t="array" ref="AD157">_xlfn.LET(_xlpm.Fin,_xlfn.XLOOKUP(P157,Exp_Shift[[Rating]:[Rating]],Exp_Shift[[Number]:[Number]],0,0),_xlpm.Init,_xlfn.XLOOKUP(P65,Exp_Shift[[Rating]:[Rating]],Exp_Shift[[Number]:[Number]],0,0),_xlpm.X,_xlfn.XLOOKUP(AD65,Exp_Shift[[Rating]:[Rating]],Exp_Shift[[Number]:[Number]],0,0), IF(_xlpm.Fin-_xlpm.Init&gt;0, _xlfn.XLOOKUP(MIN(4,_xlpm.X+1),Exp_Shift[[Number]:[Number]],Exp_Shift[[Rating]:[Rating]],0,0),IF(_xlpm.Fin-_xlpm.Init&lt;0,_xlfn.XLOOKUP(MAX(0,_xlpm.X),Exp_Shift[[Number]:[Number]],Exp_Shift[[Rating]:[Rating]],0,0),AD65)))</f>
        <v>L</v>
      </c>
      <c r="AE157" s="27" t="str" cm="1">
        <f t="array" ref="AE157">_xlfn.LET(_xlpm.Fin,_xlfn.XLOOKUP(Q157,Exp_Shift[[Rating]:[Rating]],Exp_Shift[[Number]:[Number]],0,0),_xlpm.Init,_xlfn.XLOOKUP(Q65,Exp_Shift[[Rating]:[Rating]],Exp_Shift[[Number]:[Number]],0,0),_xlpm.X,_xlfn.XLOOKUP(AE65,Exp_Shift[[Rating]:[Rating]],Exp_Shift[[Number]:[Number]],0,0), IF(_xlpm.Fin-_xlpm.Init&gt;0, _xlfn.XLOOKUP(MIN(4,_xlpm.X+1),Exp_Shift[[Number]:[Number]],Exp_Shift[[Rating]:[Rating]],0,0),IF(_xlpm.Fin-_xlpm.Init&lt;0,_xlfn.XLOOKUP(MAX(0,_xlpm.X),Exp_Shift[[Number]:[Number]],Exp_Shift[[Rating]:[Rating]],0,0),AE65)))</f>
        <v>H</v>
      </c>
    </row>
    <row r="158" spans="8:31" ht="18" x14ac:dyDescent="0.35">
      <c r="H158" s="26">
        <v>101</v>
      </c>
      <c r="I158" s="332" t="s">
        <v>120</v>
      </c>
      <c r="J158" s="328" t="s">
        <v>70</v>
      </c>
      <c r="K158" s="23" t="str" cm="1">
        <f t="array" ref="K158">_xlfn.SWITCH(K135,"N/A","L","L","M","M","H","H","E","E","N/A")</f>
        <v>N/A</v>
      </c>
      <c r="L158" t="str" cm="1">
        <f t="array" ref="L158">_xlfn.SWITCH(L135,"N/A","L","L","M","M","H","H","E","E","N/A")</f>
        <v>L</v>
      </c>
      <c r="M158" t="str" cm="1">
        <f t="array" ref="M158">_xlfn.SWITCH(M135,"N/A","L","L","M","M","H","H","E","E","N/A")</f>
        <v>M</v>
      </c>
      <c r="N158" t="str" cm="1">
        <f t="array" ref="N158">_xlfn.SWITCH(N135,"N/A","L","L","M","M","H","H","E","E","N/A")</f>
        <v>N/A</v>
      </c>
      <c r="O158" t="str" cm="1">
        <f t="array" ref="O158">_xlfn.SWITCH(O135,"N/A","L","L","M","M","H","H","E","E","N/A")</f>
        <v>E</v>
      </c>
      <c r="P158" t="str" cm="1">
        <f t="array" ref="P158">_xlfn.SWITCH(P135,"N/A","L","L","M","M","H","H","E","E","N/A")</f>
        <v>E</v>
      </c>
      <c r="Q158" s="19" t="str" cm="1">
        <f t="array" ref="Q158">_xlfn.SWITCH(Q135,"N/A","L","L","M","M","H","H","E","E","N/A")</f>
        <v>L</v>
      </c>
      <c r="R158" s="23" t="str" cm="1">
        <f t="array" ref="R158">_xlfn.LET(_xlpm.Fin,_xlfn.XLOOKUP(K158,Exp_Shift[[Rating]:[Rating]],Exp_Shift[[Number]:[Number]],0,0),_xlpm.Init,_xlfn.XLOOKUP(K66,Exp_Shift[[Rating]:[Rating]],Exp_Shift[[Number]:[Number]],0,0),_xlpm.X,_xlfn.XLOOKUP(R66,Exp_Shift[[Rating]:[Rating]],Exp_Shift[[Number]:[Number]],0,0), IF(_xlpm.Fin-_xlpm.Init&gt;0, _xlfn.XLOOKUP(MIN(4,_xlpm.X+_xlpm.Fin-_xlpm.Init),Exp_Shift[[Number]:[Number]],Exp_Shift[[Rating]:[Rating]],0,0),IF(_xlpm.Fin-_xlpm.Init&lt;0,_xlfn.XLOOKUP(MAX(0,_xlpm.X-1),Exp_Shift[[Number]:[Number]],Exp_Shift[[Rating]:[Rating]],0,0),R66)))</f>
        <v>L</v>
      </c>
      <c r="S158" t="str" cm="1">
        <f t="array" ref="S158">_xlfn.LET(_xlpm.Fin,_xlfn.XLOOKUP(L158,Exp_Shift[[Rating]:[Rating]],Exp_Shift[[Number]:[Number]],0,0),_xlpm.Init,_xlfn.XLOOKUP(L66,Exp_Shift[[Rating]:[Rating]],Exp_Shift[[Number]:[Number]],0,0),_xlpm.X,_xlfn.XLOOKUP(S66,Exp_Shift[[Rating]:[Rating]],Exp_Shift[[Number]:[Number]],0,0), IF(_xlpm.Fin-_xlpm.Init&gt;0, _xlfn.XLOOKUP(MIN(4,_xlpm.X+_xlpm.Fin-_xlpm.Init),Exp_Shift[[Number]:[Number]],Exp_Shift[[Rating]:[Rating]],0,0),IF(_xlpm.Fin-_xlpm.Init&lt;0,_xlfn.XLOOKUP(MAX(0,_xlpm.X-1),Exp_Shift[[Number]:[Number]],Exp_Shift[[Rating]:[Rating]],0,0),S66)))</f>
        <v>L</v>
      </c>
      <c r="T158" t="str" cm="1">
        <f t="array" ref="T158">_xlfn.LET(_xlpm.Fin,_xlfn.XLOOKUP(M158,Exp_Shift[[Rating]:[Rating]],Exp_Shift[[Number]:[Number]],0,0),_xlpm.Init,_xlfn.XLOOKUP(M66,Exp_Shift[[Rating]:[Rating]],Exp_Shift[[Number]:[Number]],0,0),_xlpm.X,_xlfn.XLOOKUP(T66,Exp_Shift[[Rating]:[Rating]],Exp_Shift[[Number]:[Number]],0,0), IF(_xlpm.Fin-_xlpm.Init&gt;0, _xlfn.XLOOKUP(MIN(4,_xlpm.X+_xlpm.Fin-_xlpm.Init),Exp_Shift[[Number]:[Number]],Exp_Shift[[Rating]:[Rating]],0,0),IF(_xlpm.Fin-_xlpm.Init&lt;0,_xlfn.XLOOKUP(MAX(0,_xlpm.X-1),Exp_Shift[[Number]:[Number]],Exp_Shift[[Rating]:[Rating]],0,0),T66)))</f>
        <v>H</v>
      </c>
      <c r="U158" t="str" cm="1">
        <f t="array" ref="U158">_xlfn.LET(_xlpm.Fin,_xlfn.XLOOKUP(N158,Exp_Shift[[Rating]:[Rating]],Exp_Shift[[Number]:[Number]],0,0),_xlpm.Init,_xlfn.XLOOKUP(N66,Exp_Shift[[Rating]:[Rating]],Exp_Shift[[Number]:[Number]],0,0),_xlpm.X,_xlfn.XLOOKUP(U66,Exp_Shift[[Rating]:[Rating]],Exp_Shift[[Number]:[Number]],0,0), IF(_xlpm.Fin-_xlpm.Init&gt;0, _xlfn.XLOOKUP(MIN(4,_xlpm.X+_xlpm.Fin-_xlpm.Init),Exp_Shift[[Number]:[Number]],Exp_Shift[[Rating]:[Rating]],0,0),IF(_xlpm.Fin-_xlpm.Init&lt;0,_xlfn.XLOOKUP(MAX(0,_xlpm.X-1),Exp_Shift[[Number]:[Number]],Exp_Shift[[Rating]:[Rating]],0,0),U66)))</f>
        <v>L</v>
      </c>
      <c r="V158" t="str" cm="1">
        <f t="array" ref="V158">_xlfn.LET(_xlpm.Fin,_xlfn.XLOOKUP(O158,Exp_Shift[[Rating]:[Rating]],Exp_Shift[[Number]:[Number]],0,0),_xlpm.Init,_xlfn.XLOOKUP(O66,Exp_Shift[[Rating]:[Rating]],Exp_Shift[[Number]:[Number]],0,0),_xlpm.X,_xlfn.XLOOKUP(V66,Exp_Shift[[Rating]:[Rating]],Exp_Shift[[Number]:[Number]],0,0), IF(_xlpm.Fin-_xlpm.Init&gt;0, _xlfn.XLOOKUP(MIN(4,_xlpm.X+_xlpm.Fin-_xlpm.Init),Exp_Shift[[Number]:[Number]],Exp_Shift[[Rating]:[Rating]],0,0),IF(_xlpm.Fin-_xlpm.Init&lt;0,_xlfn.XLOOKUP(MAX(0,_xlpm.X-1),Exp_Shift[[Number]:[Number]],Exp_Shift[[Rating]:[Rating]],0,0),V66)))</f>
        <v>E</v>
      </c>
      <c r="W158" t="str" cm="1">
        <f t="array" ref="W158">_xlfn.LET(_xlpm.Fin,_xlfn.XLOOKUP(P158,Exp_Shift[[Rating]:[Rating]],Exp_Shift[[Number]:[Number]],0,0),_xlpm.Init,_xlfn.XLOOKUP(P66,Exp_Shift[[Rating]:[Rating]],Exp_Shift[[Number]:[Number]],0,0),_xlpm.X,_xlfn.XLOOKUP(W66,Exp_Shift[[Rating]:[Rating]],Exp_Shift[[Number]:[Number]],0,0), IF(_xlpm.Fin-_xlpm.Init&gt;0, _xlfn.XLOOKUP(MIN(4,_xlpm.X+_xlpm.Fin-_xlpm.Init),Exp_Shift[[Number]:[Number]],Exp_Shift[[Rating]:[Rating]],0,0),IF(_xlpm.Fin-_xlpm.Init&lt;0,_xlfn.XLOOKUP(MAX(0,_xlpm.X-1),Exp_Shift[[Number]:[Number]],Exp_Shift[[Rating]:[Rating]],0,0),W66)))</f>
        <v>E</v>
      </c>
      <c r="X158" s="19" t="str" cm="1">
        <f t="array" ref="X158">_xlfn.LET(_xlpm.Fin,_xlfn.XLOOKUP(Q158,Exp_Shift[[Rating]:[Rating]],Exp_Shift[[Number]:[Number]],0,0),_xlpm.Init,_xlfn.XLOOKUP(Q66,Exp_Shift[[Rating]:[Rating]],Exp_Shift[[Number]:[Number]],0,0),_xlpm.X,_xlfn.XLOOKUP(X66,Exp_Shift[[Rating]:[Rating]],Exp_Shift[[Number]:[Number]],0,0), IF(_xlpm.Fin-_xlpm.Init&gt;0, _xlfn.XLOOKUP(MIN(4,_xlpm.X+_xlpm.Fin-_xlpm.Init),Exp_Shift[[Number]:[Number]],Exp_Shift[[Rating]:[Rating]],0,0),IF(_xlpm.Fin-_xlpm.Init&lt;0,_xlfn.XLOOKUP(MAX(0,_xlpm.X-1),Exp_Shift[[Number]:[Number]],Exp_Shift[[Rating]:[Rating]],0,0),X66)))</f>
        <v>M</v>
      </c>
      <c r="Y158" s="23" t="str" cm="1">
        <f t="array" ref="Y158">_xlfn.LET(_xlpm.Fin,_xlfn.XLOOKUP(K158,Exp_Shift[[Rating]:[Rating]],Exp_Shift[[Number]:[Number]],0,0),_xlpm.Init,_xlfn.XLOOKUP(K66,Exp_Shift[[Rating]:[Rating]],Exp_Shift[[Number]:[Number]],0,0),_xlpm.X,_xlfn.XLOOKUP(Y66,Exp_Shift[[Rating]:[Rating]],Exp_Shift[[Number]:[Number]],0,0), IF(_xlpm.Fin-_xlpm.Init&gt;0, _xlfn.XLOOKUP(MIN(4,_xlpm.X+1),Exp_Shift[[Number]:[Number]],Exp_Shift[[Rating]:[Rating]],0,0),IF(_xlpm.Fin-_xlpm.Init&lt;0,_xlfn.XLOOKUP(MAX(0,_xlpm.X),Exp_Shift[[Number]:[Number]],Exp_Shift[[Rating]:[Rating]],0,0),Y66)))</f>
        <v>E</v>
      </c>
      <c r="Z158" t="str" cm="1">
        <f t="array" ref="Z158">_xlfn.LET(_xlpm.Fin,_xlfn.XLOOKUP(L158,Exp_Shift[[Rating]:[Rating]],Exp_Shift[[Number]:[Number]],0,0),_xlpm.Init,_xlfn.XLOOKUP(L66,Exp_Shift[[Rating]:[Rating]],Exp_Shift[[Number]:[Number]],0,0),_xlpm.X,_xlfn.XLOOKUP(Z66,Exp_Shift[[Rating]:[Rating]],Exp_Shift[[Number]:[Number]],0,0), IF(_xlpm.Fin-_xlpm.Init&gt;0, _xlfn.XLOOKUP(MIN(4,_xlpm.X+1),Exp_Shift[[Number]:[Number]],Exp_Shift[[Rating]:[Rating]],0,0),IF(_xlpm.Fin-_xlpm.Init&lt;0,_xlfn.XLOOKUP(MAX(0,_xlpm.X),Exp_Shift[[Number]:[Number]],Exp_Shift[[Rating]:[Rating]],0,0),Z66)))</f>
        <v>H</v>
      </c>
      <c r="AA158" t="str" cm="1">
        <f t="array" ref="AA158">_xlfn.LET(_xlpm.Fin,_xlfn.XLOOKUP(M158,Exp_Shift[[Rating]:[Rating]],Exp_Shift[[Number]:[Number]],0,0),_xlpm.Init,_xlfn.XLOOKUP(M66,Exp_Shift[[Rating]:[Rating]],Exp_Shift[[Number]:[Number]],0,0),_xlpm.X,_xlfn.XLOOKUP(AA66,Exp_Shift[[Rating]:[Rating]],Exp_Shift[[Number]:[Number]],0,0), IF(_xlpm.Fin-_xlpm.Init&gt;0, _xlfn.XLOOKUP(MIN(4,_xlpm.X+1),Exp_Shift[[Number]:[Number]],Exp_Shift[[Rating]:[Rating]],0,0),IF(_xlpm.Fin-_xlpm.Init&lt;0,_xlfn.XLOOKUP(MAX(0,_xlpm.X),Exp_Shift[[Number]:[Number]],Exp_Shift[[Rating]:[Rating]],0,0),AA66)))</f>
        <v>E</v>
      </c>
      <c r="AB158" t="str" cm="1">
        <f t="array" ref="AB158">_xlfn.LET(_xlpm.Fin,_xlfn.XLOOKUP(N158,Exp_Shift[[Rating]:[Rating]],Exp_Shift[[Number]:[Number]],0,0),_xlpm.Init,_xlfn.XLOOKUP(N66,Exp_Shift[[Rating]:[Rating]],Exp_Shift[[Number]:[Number]],0,0),_xlpm.X,_xlfn.XLOOKUP(AB66,Exp_Shift[[Rating]:[Rating]],Exp_Shift[[Number]:[Number]],0,0), IF(_xlpm.Fin-_xlpm.Init&gt;0, _xlfn.XLOOKUP(MIN(4,_xlpm.X+1),Exp_Shift[[Number]:[Number]],Exp_Shift[[Rating]:[Rating]],0,0),IF(_xlpm.Fin-_xlpm.Init&lt;0,_xlfn.XLOOKUP(MAX(0,_xlpm.X),Exp_Shift[[Number]:[Number]],Exp_Shift[[Rating]:[Rating]],0,0),AB66)))</f>
        <v>H</v>
      </c>
      <c r="AC158" t="str" cm="1">
        <f t="array" ref="AC158">_xlfn.LET(_xlpm.Fin,_xlfn.XLOOKUP(O158,Exp_Shift[[Rating]:[Rating]],Exp_Shift[[Number]:[Number]],0,0),_xlpm.Init,_xlfn.XLOOKUP(O66,Exp_Shift[[Rating]:[Rating]],Exp_Shift[[Number]:[Number]],0,0),_xlpm.X,_xlfn.XLOOKUP(AC66,Exp_Shift[[Rating]:[Rating]],Exp_Shift[[Number]:[Number]],0,0), IF(_xlpm.Fin-_xlpm.Init&gt;0, _xlfn.XLOOKUP(MIN(4,_xlpm.X+1),Exp_Shift[[Number]:[Number]],Exp_Shift[[Rating]:[Rating]],0,0),IF(_xlpm.Fin-_xlpm.Init&lt;0,_xlfn.XLOOKUP(MAX(0,_xlpm.X),Exp_Shift[[Number]:[Number]],Exp_Shift[[Rating]:[Rating]],0,0),AC66)))</f>
        <v>L</v>
      </c>
      <c r="AD158" t="str" cm="1">
        <f t="array" ref="AD158">_xlfn.LET(_xlpm.Fin,_xlfn.XLOOKUP(P158,Exp_Shift[[Rating]:[Rating]],Exp_Shift[[Number]:[Number]],0,0),_xlpm.Init,_xlfn.XLOOKUP(P66,Exp_Shift[[Rating]:[Rating]],Exp_Shift[[Number]:[Number]],0,0),_xlpm.X,_xlfn.XLOOKUP(AD66,Exp_Shift[[Rating]:[Rating]],Exp_Shift[[Number]:[Number]],0,0), IF(_xlpm.Fin-_xlpm.Init&gt;0, _xlfn.XLOOKUP(MIN(4,_xlpm.X+1),Exp_Shift[[Number]:[Number]],Exp_Shift[[Rating]:[Rating]],0,0),IF(_xlpm.Fin-_xlpm.Init&lt;0,_xlfn.XLOOKUP(MAX(0,_xlpm.X),Exp_Shift[[Number]:[Number]],Exp_Shift[[Rating]:[Rating]],0,0),AD66)))</f>
        <v>L</v>
      </c>
      <c r="AE158" s="27" t="str" cm="1">
        <f t="array" ref="AE158">_xlfn.LET(_xlpm.Fin,_xlfn.XLOOKUP(Q158,Exp_Shift[[Rating]:[Rating]],Exp_Shift[[Number]:[Number]],0,0),_xlpm.Init,_xlfn.XLOOKUP(Q66,Exp_Shift[[Rating]:[Rating]],Exp_Shift[[Number]:[Number]],0,0),_xlpm.X,_xlfn.XLOOKUP(AE66,Exp_Shift[[Rating]:[Rating]],Exp_Shift[[Number]:[Number]],0,0), IF(_xlpm.Fin-_xlpm.Init&gt;0, _xlfn.XLOOKUP(MIN(4,_xlpm.X+1),Exp_Shift[[Number]:[Number]],Exp_Shift[[Rating]:[Rating]],0,0),IF(_xlpm.Fin-_xlpm.Init&lt;0,_xlfn.XLOOKUP(MAX(0,_xlpm.X),Exp_Shift[[Number]:[Number]],Exp_Shift[[Rating]:[Rating]],0,0),AE66)))</f>
        <v>H</v>
      </c>
    </row>
    <row r="159" spans="8:31" ht="18" x14ac:dyDescent="0.35">
      <c r="H159" s="26">
        <v>102</v>
      </c>
      <c r="I159" s="332" t="s">
        <v>120</v>
      </c>
      <c r="J159" s="328" t="s">
        <v>223</v>
      </c>
      <c r="K159" s="23" t="str" cm="1">
        <f t="array" ref="K159">_xlfn.SWITCH(K136,"N/A","L","L","M","M","H","H","E","E","N/A")</f>
        <v>N/A</v>
      </c>
      <c r="L159" t="str" cm="1">
        <f t="array" ref="L159">_xlfn.SWITCH(L136,"N/A","L","L","M","M","H","H","E","E","N/A")</f>
        <v>L</v>
      </c>
      <c r="M159" t="str" cm="1">
        <f t="array" ref="M159">_xlfn.SWITCH(M136,"N/A","L","L","M","M","H","H","E","E","N/A")</f>
        <v>M</v>
      </c>
      <c r="N159" t="str" cm="1">
        <f t="array" ref="N159">_xlfn.SWITCH(N136,"N/A","L","L","M","M","H","H","E","E","N/A")</f>
        <v>N/A</v>
      </c>
      <c r="O159" t="str" cm="1">
        <f t="array" ref="O159">_xlfn.SWITCH(O136,"N/A","L","L","M","M","H","H","E","E","N/A")</f>
        <v>E</v>
      </c>
      <c r="P159" t="str" cm="1">
        <f t="array" ref="P159">_xlfn.SWITCH(P136,"N/A","L","L","M","M","H","H","E","E","N/A")</f>
        <v>E</v>
      </c>
      <c r="Q159" s="19" t="str" cm="1">
        <f t="array" ref="Q159">_xlfn.SWITCH(Q136,"N/A","L","L","M","M","H","H","E","E","N/A")</f>
        <v>L</v>
      </c>
      <c r="R159" s="23" t="str" cm="1">
        <f t="array" ref="R159">_xlfn.LET(_xlpm.Fin,_xlfn.XLOOKUP(K159,Exp_Shift[[Rating]:[Rating]],Exp_Shift[[Number]:[Number]],0,0),_xlpm.Init,_xlfn.XLOOKUP(K67,Exp_Shift[[Rating]:[Rating]],Exp_Shift[[Number]:[Number]],0,0),_xlpm.X,_xlfn.XLOOKUP(R67,Exp_Shift[[Rating]:[Rating]],Exp_Shift[[Number]:[Number]],0,0), IF(_xlpm.Fin-_xlpm.Init&gt;0, _xlfn.XLOOKUP(MIN(4,_xlpm.X+_xlpm.Fin-_xlpm.Init),Exp_Shift[[Number]:[Number]],Exp_Shift[[Rating]:[Rating]],0,0),IF(_xlpm.Fin-_xlpm.Init&lt;0,_xlfn.XLOOKUP(MAX(0,_xlpm.X-1),Exp_Shift[[Number]:[Number]],Exp_Shift[[Rating]:[Rating]],0,0),R67)))</f>
        <v>M</v>
      </c>
      <c r="S159" t="str" cm="1">
        <f t="array" ref="S159">_xlfn.LET(_xlpm.Fin,_xlfn.XLOOKUP(L159,Exp_Shift[[Rating]:[Rating]],Exp_Shift[[Number]:[Number]],0,0),_xlpm.Init,_xlfn.XLOOKUP(L67,Exp_Shift[[Rating]:[Rating]],Exp_Shift[[Number]:[Number]],0,0),_xlpm.X,_xlfn.XLOOKUP(S67,Exp_Shift[[Rating]:[Rating]],Exp_Shift[[Number]:[Number]],0,0), IF(_xlpm.Fin-_xlpm.Init&gt;0, _xlfn.XLOOKUP(MIN(4,_xlpm.X+_xlpm.Fin-_xlpm.Init),Exp_Shift[[Number]:[Number]],Exp_Shift[[Rating]:[Rating]],0,0),IF(_xlpm.Fin-_xlpm.Init&lt;0,_xlfn.XLOOKUP(MAX(0,_xlpm.X-1),Exp_Shift[[Number]:[Number]],Exp_Shift[[Rating]:[Rating]],0,0),S67)))</f>
        <v>L</v>
      </c>
      <c r="T159" t="str" cm="1">
        <f t="array" ref="T159">_xlfn.LET(_xlpm.Fin,_xlfn.XLOOKUP(M159,Exp_Shift[[Rating]:[Rating]],Exp_Shift[[Number]:[Number]],0,0),_xlpm.Init,_xlfn.XLOOKUP(M67,Exp_Shift[[Rating]:[Rating]],Exp_Shift[[Number]:[Number]],0,0),_xlpm.X,_xlfn.XLOOKUP(T67,Exp_Shift[[Rating]:[Rating]],Exp_Shift[[Number]:[Number]],0,0), IF(_xlpm.Fin-_xlpm.Init&gt;0, _xlfn.XLOOKUP(MIN(4,_xlpm.X+_xlpm.Fin-_xlpm.Init),Exp_Shift[[Number]:[Number]],Exp_Shift[[Rating]:[Rating]],0,0),IF(_xlpm.Fin-_xlpm.Init&lt;0,_xlfn.XLOOKUP(MAX(0,_xlpm.X-1),Exp_Shift[[Number]:[Number]],Exp_Shift[[Rating]:[Rating]],0,0),T67)))</f>
        <v>H</v>
      </c>
      <c r="U159" t="str" cm="1">
        <f t="array" ref="U159">_xlfn.LET(_xlpm.Fin,_xlfn.XLOOKUP(N159,Exp_Shift[[Rating]:[Rating]],Exp_Shift[[Number]:[Number]],0,0),_xlpm.Init,_xlfn.XLOOKUP(N67,Exp_Shift[[Rating]:[Rating]],Exp_Shift[[Number]:[Number]],0,0),_xlpm.X,_xlfn.XLOOKUP(U67,Exp_Shift[[Rating]:[Rating]],Exp_Shift[[Number]:[Number]],0,0), IF(_xlpm.Fin-_xlpm.Init&gt;0, _xlfn.XLOOKUP(MIN(4,_xlpm.X+_xlpm.Fin-_xlpm.Init),Exp_Shift[[Number]:[Number]],Exp_Shift[[Rating]:[Rating]],0,0),IF(_xlpm.Fin-_xlpm.Init&lt;0,_xlfn.XLOOKUP(MAX(0,_xlpm.X-1),Exp_Shift[[Number]:[Number]],Exp_Shift[[Rating]:[Rating]],0,0),U67)))</f>
        <v>N/A</v>
      </c>
      <c r="V159" t="str" cm="1">
        <f t="array" ref="V159">_xlfn.LET(_xlpm.Fin,_xlfn.XLOOKUP(O159,Exp_Shift[[Rating]:[Rating]],Exp_Shift[[Number]:[Number]],0,0),_xlpm.Init,_xlfn.XLOOKUP(O67,Exp_Shift[[Rating]:[Rating]],Exp_Shift[[Number]:[Number]],0,0),_xlpm.X,_xlfn.XLOOKUP(V67,Exp_Shift[[Rating]:[Rating]],Exp_Shift[[Number]:[Number]],0,0), IF(_xlpm.Fin-_xlpm.Init&gt;0, _xlfn.XLOOKUP(MIN(4,_xlpm.X+_xlpm.Fin-_xlpm.Init),Exp_Shift[[Number]:[Number]],Exp_Shift[[Rating]:[Rating]],0,0),IF(_xlpm.Fin-_xlpm.Init&lt;0,_xlfn.XLOOKUP(MAX(0,_xlpm.X-1),Exp_Shift[[Number]:[Number]],Exp_Shift[[Rating]:[Rating]],0,0),V67)))</f>
        <v>E</v>
      </c>
      <c r="W159" t="str" cm="1">
        <f t="array" ref="W159">_xlfn.LET(_xlpm.Fin,_xlfn.XLOOKUP(P159,Exp_Shift[[Rating]:[Rating]],Exp_Shift[[Number]:[Number]],0,0),_xlpm.Init,_xlfn.XLOOKUP(P67,Exp_Shift[[Rating]:[Rating]],Exp_Shift[[Number]:[Number]],0,0),_xlpm.X,_xlfn.XLOOKUP(W67,Exp_Shift[[Rating]:[Rating]],Exp_Shift[[Number]:[Number]],0,0), IF(_xlpm.Fin-_xlpm.Init&gt;0, _xlfn.XLOOKUP(MIN(4,_xlpm.X+_xlpm.Fin-_xlpm.Init),Exp_Shift[[Number]:[Number]],Exp_Shift[[Rating]:[Rating]],0,0),IF(_xlpm.Fin-_xlpm.Init&lt;0,_xlfn.XLOOKUP(MAX(0,_xlpm.X-1),Exp_Shift[[Number]:[Number]],Exp_Shift[[Rating]:[Rating]],0,0),W67)))</f>
        <v>E</v>
      </c>
      <c r="X159" s="19" t="str" cm="1">
        <f t="array" ref="X159">_xlfn.LET(_xlpm.Fin,_xlfn.XLOOKUP(Q159,Exp_Shift[[Rating]:[Rating]],Exp_Shift[[Number]:[Number]],0,0),_xlpm.Init,_xlfn.XLOOKUP(Q67,Exp_Shift[[Rating]:[Rating]],Exp_Shift[[Number]:[Number]],0,0),_xlpm.X,_xlfn.XLOOKUP(X67,Exp_Shift[[Rating]:[Rating]],Exp_Shift[[Number]:[Number]],0,0), IF(_xlpm.Fin-_xlpm.Init&gt;0, _xlfn.XLOOKUP(MIN(4,_xlpm.X+_xlpm.Fin-_xlpm.Init),Exp_Shift[[Number]:[Number]],Exp_Shift[[Rating]:[Rating]],0,0),IF(_xlpm.Fin-_xlpm.Init&lt;0,_xlfn.XLOOKUP(MAX(0,_xlpm.X-1),Exp_Shift[[Number]:[Number]],Exp_Shift[[Rating]:[Rating]],0,0),X67)))</f>
        <v>M</v>
      </c>
      <c r="Y159" s="23" t="str" cm="1">
        <f t="array" ref="Y159">_xlfn.LET(_xlpm.Fin,_xlfn.XLOOKUP(K159,Exp_Shift[[Rating]:[Rating]],Exp_Shift[[Number]:[Number]],0,0),_xlpm.Init,_xlfn.XLOOKUP(K67,Exp_Shift[[Rating]:[Rating]],Exp_Shift[[Number]:[Number]],0,0),_xlpm.X,_xlfn.XLOOKUP(Y67,Exp_Shift[[Rating]:[Rating]],Exp_Shift[[Number]:[Number]],0,0), IF(_xlpm.Fin-_xlpm.Init&gt;0, _xlfn.XLOOKUP(MIN(4,_xlpm.X+1),Exp_Shift[[Number]:[Number]],Exp_Shift[[Rating]:[Rating]],0,0),IF(_xlpm.Fin-_xlpm.Init&lt;0,_xlfn.XLOOKUP(MAX(0,_xlpm.X),Exp_Shift[[Number]:[Number]],Exp_Shift[[Rating]:[Rating]],0,0),Y67)))</f>
        <v>E</v>
      </c>
      <c r="Z159" t="str" cm="1">
        <f t="array" ref="Z159">_xlfn.LET(_xlpm.Fin,_xlfn.XLOOKUP(L159,Exp_Shift[[Rating]:[Rating]],Exp_Shift[[Number]:[Number]],0,0),_xlpm.Init,_xlfn.XLOOKUP(L67,Exp_Shift[[Rating]:[Rating]],Exp_Shift[[Number]:[Number]],0,0),_xlpm.X,_xlfn.XLOOKUP(Z67,Exp_Shift[[Rating]:[Rating]],Exp_Shift[[Number]:[Number]],0,0), IF(_xlpm.Fin-_xlpm.Init&gt;0, _xlfn.XLOOKUP(MIN(4,_xlpm.X+1),Exp_Shift[[Number]:[Number]],Exp_Shift[[Rating]:[Rating]],0,0),IF(_xlpm.Fin-_xlpm.Init&lt;0,_xlfn.XLOOKUP(MAX(0,_xlpm.X),Exp_Shift[[Number]:[Number]],Exp_Shift[[Rating]:[Rating]],0,0),Z67)))</f>
        <v>H</v>
      </c>
      <c r="AA159" t="str" cm="1">
        <f t="array" ref="AA159">_xlfn.LET(_xlpm.Fin,_xlfn.XLOOKUP(M159,Exp_Shift[[Rating]:[Rating]],Exp_Shift[[Number]:[Number]],0,0),_xlpm.Init,_xlfn.XLOOKUP(M67,Exp_Shift[[Rating]:[Rating]],Exp_Shift[[Number]:[Number]],0,0),_xlpm.X,_xlfn.XLOOKUP(AA67,Exp_Shift[[Rating]:[Rating]],Exp_Shift[[Number]:[Number]],0,0), IF(_xlpm.Fin-_xlpm.Init&gt;0, _xlfn.XLOOKUP(MIN(4,_xlpm.X+1),Exp_Shift[[Number]:[Number]],Exp_Shift[[Rating]:[Rating]],0,0),IF(_xlpm.Fin-_xlpm.Init&lt;0,_xlfn.XLOOKUP(MAX(0,_xlpm.X),Exp_Shift[[Number]:[Number]],Exp_Shift[[Rating]:[Rating]],0,0),AA67)))</f>
        <v>E</v>
      </c>
      <c r="AB159" t="str" cm="1">
        <f t="array" ref="AB159">_xlfn.LET(_xlpm.Fin,_xlfn.XLOOKUP(N159,Exp_Shift[[Rating]:[Rating]],Exp_Shift[[Number]:[Number]],0,0),_xlpm.Init,_xlfn.XLOOKUP(N67,Exp_Shift[[Rating]:[Rating]],Exp_Shift[[Number]:[Number]],0,0),_xlpm.X,_xlfn.XLOOKUP(AB67,Exp_Shift[[Rating]:[Rating]],Exp_Shift[[Number]:[Number]],0,0), IF(_xlpm.Fin-_xlpm.Init&gt;0, _xlfn.XLOOKUP(MIN(4,_xlpm.X+1),Exp_Shift[[Number]:[Number]],Exp_Shift[[Rating]:[Rating]],0,0),IF(_xlpm.Fin-_xlpm.Init&lt;0,_xlfn.XLOOKUP(MAX(0,_xlpm.X),Exp_Shift[[Number]:[Number]],Exp_Shift[[Rating]:[Rating]],0,0),AB67)))</f>
        <v>M</v>
      </c>
      <c r="AC159" t="str" cm="1">
        <f t="array" ref="AC159">_xlfn.LET(_xlpm.Fin,_xlfn.XLOOKUP(O159,Exp_Shift[[Rating]:[Rating]],Exp_Shift[[Number]:[Number]],0,0),_xlpm.Init,_xlfn.XLOOKUP(O67,Exp_Shift[[Rating]:[Rating]],Exp_Shift[[Number]:[Number]],0,0),_xlpm.X,_xlfn.XLOOKUP(AC67,Exp_Shift[[Rating]:[Rating]],Exp_Shift[[Number]:[Number]],0,0), IF(_xlpm.Fin-_xlpm.Init&gt;0, _xlfn.XLOOKUP(MIN(4,_xlpm.X+1),Exp_Shift[[Number]:[Number]],Exp_Shift[[Rating]:[Rating]],0,0),IF(_xlpm.Fin-_xlpm.Init&lt;0,_xlfn.XLOOKUP(MAX(0,_xlpm.X),Exp_Shift[[Number]:[Number]],Exp_Shift[[Rating]:[Rating]],0,0),AC67)))</f>
        <v>L</v>
      </c>
      <c r="AD159" t="str" cm="1">
        <f t="array" ref="AD159">_xlfn.LET(_xlpm.Fin,_xlfn.XLOOKUP(P159,Exp_Shift[[Rating]:[Rating]],Exp_Shift[[Number]:[Number]],0,0),_xlpm.Init,_xlfn.XLOOKUP(P67,Exp_Shift[[Rating]:[Rating]],Exp_Shift[[Number]:[Number]],0,0),_xlpm.X,_xlfn.XLOOKUP(AD67,Exp_Shift[[Rating]:[Rating]],Exp_Shift[[Number]:[Number]],0,0), IF(_xlpm.Fin-_xlpm.Init&gt;0, _xlfn.XLOOKUP(MIN(4,_xlpm.X+1),Exp_Shift[[Number]:[Number]],Exp_Shift[[Rating]:[Rating]],0,0),IF(_xlpm.Fin-_xlpm.Init&lt;0,_xlfn.XLOOKUP(MAX(0,_xlpm.X),Exp_Shift[[Number]:[Number]],Exp_Shift[[Rating]:[Rating]],0,0),AD67)))</f>
        <v>L</v>
      </c>
      <c r="AE159" s="27" t="str" cm="1">
        <f t="array" ref="AE159">_xlfn.LET(_xlpm.Fin,_xlfn.XLOOKUP(Q159,Exp_Shift[[Rating]:[Rating]],Exp_Shift[[Number]:[Number]],0,0),_xlpm.Init,_xlfn.XLOOKUP(Q67,Exp_Shift[[Rating]:[Rating]],Exp_Shift[[Number]:[Number]],0,0),_xlpm.X,_xlfn.XLOOKUP(AE67,Exp_Shift[[Rating]:[Rating]],Exp_Shift[[Number]:[Number]],0,0), IF(_xlpm.Fin-_xlpm.Init&gt;0, _xlfn.XLOOKUP(MIN(4,_xlpm.X+1),Exp_Shift[[Number]:[Number]],Exp_Shift[[Rating]:[Rating]],0,0),IF(_xlpm.Fin-_xlpm.Init&lt;0,_xlfn.XLOOKUP(MAX(0,_xlpm.X),Exp_Shift[[Number]:[Number]],Exp_Shift[[Rating]:[Rating]],0,0),AE67)))</f>
        <v>H</v>
      </c>
    </row>
    <row r="160" spans="8:31" ht="18" x14ac:dyDescent="0.35">
      <c r="H160" s="26">
        <v>103</v>
      </c>
      <c r="I160" s="332" t="s">
        <v>120</v>
      </c>
      <c r="J160" s="328" t="s">
        <v>122</v>
      </c>
      <c r="K160" s="23" t="str" cm="1">
        <f t="array" ref="K160">_xlfn.SWITCH(K137,"N/A","L","L","M","M","H","H","E","E","N/A")</f>
        <v>N/A</v>
      </c>
      <c r="L160" t="str" cm="1">
        <f t="array" ref="L160">_xlfn.SWITCH(L137,"N/A","L","L","M","M","H","H","E","E","N/A")</f>
        <v>N/A</v>
      </c>
      <c r="M160" t="str" cm="1">
        <f t="array" ref="M160">_xlfn.SWITCH(M137,"N/A","L","L","M","M","H","H","E","E","N/A")</f>
        <v>L</v>
      </c>
      <c r="N160" t="str" cm="1">
        <f t="array" ref="N160">_xlfn.SWITCH(N137,"N/A","L","L","M","M","H","H","E","E","N/A")</f>
        <v>L</v>
      </c>
      <c r="O160" t="str" cm="1">
        <f t="array" ref="O160">_xlfn.SWITCH(O137,"N/A","L","L","M","M","H","H","E","E","N/A")</f>
        <v>E</v>
      </c>
      <c r="P160" t="str" cm="1">
        <f t="array" ref="P160">_xlfn.SWITCH(P137,"N/A","L","L","M","M","H","H","E","E","N/A")</f>
        <v>E</v>
      </c>
      <c r="Q160" s="19" t="str" cm="1">
        <f t="array" ref="Q160">_xlfn.SWITCH(Q137,"N/A","L","L","M","M","H","H","E","E","N/A")</f>
        <v>L</v>
      </c>
      <c r="R160" s="23" t="str" cm="1">
        <f t="array" ref="R160">_xlfn.LET(_xlpm.Fin,_xlfn.XLOOKUP(K160,Exp_Shift[[Rating]:[Rating]],Exp_Shift[[Number]:[Number]],0,0),_xlpm.Init,_xlfn.XLOOKUP(K68,Exp_Shift[[Rating]:[Rating]],Exp_Shift[[Number]:[Number]],0,0),_xlpm.X,_xlfn.XLOOKUP(R68,Exp_Shift[[Rating]:[Rating]],Exp_Shift[[Number]:[Number]],0,0), IF(_xlpm.Fin-_xlpm.Init&gt;0, _xlfn.XLOOKUP(MIN(4,_xlpm.X+_xlpm.Fin-_xlpm.Init),Exp_Shift[[Number]:[Number]],Exp_Shift[[Rating]:[Rating]],0,0),IF(_xlpm.Fin-_xlpm.Init&lt;0,_xlfn.XLOOKUP(MAX(0,_xlpm.X-1),Exp_Shift[[Number]:[Number]],Exp_Shift[[Rating]:[Rating]],0,0),R68)))</f>
        <v>L</v>
      </c>
      <c r="S160" t="str" cm="1">
        <f t="array" ref="S160">_xlfn.LET(_xlpm.Fin,_xlfn.XLOOKUP(L160,Exp_Shift[[Rating]:[Rating]],Exp_Shift[[Number]:[Number]],0,0),_xlpm.Init,_xlfn.XLOOKUP(L68,Exp_Shift[[Rating]:[Rating]],Exp_Shift[[Number]:[Number]],0,0),_xlpm.X,_xlfn.XLOOKUP(S68,Exp_Shift[[Rating]:[Rating]],Exp_Shift[[Number]:[Number]],0,0), IF(_xlpm.Fin-_xlpm.Init&gt;0, _xlfn.XLOOKUP(MIN(4,_xlpm.X+_xlpm.Fin-_xlpm.Init),Exp_Shift[[Number]:[Number]],Exp_Shift[[Rating]:[Rating]],0,0),IF(_xlpm.Fin-_xlpm.Init&lt;0,_xlfn.XLOOKUP(MAX(0,_xlpm.X-1),Exp_Shift[[Number]:[Number]],Exp_Shift[[Rating]:[Rating]],0,0),S68)))</f>
        <v>L</v>
      </c>
      <c r="T160" t="str" cm="1">
        <f t="array" ref="T160">_xlfn.LET(_xlpm.Fin,_xlfn.XLOOKUP(M160,Exp_Shift[[Rating]:[Rating]],Exp_Shift[[Number]:[Number]],0,0),_xlpm.Init,_xlfn.XLOOKUP(M68,Exp_Shift[[Rating]:[Rating]],Exp_Shift[[Number]:[Number]],0,0),_xlpm.X,_xlfn.XLOOKUP(T68,Exp_Shift[[Rating]:[Rating]],Exp_Shift[[Number]:[Number]],0,0), IF(_xlpm.Fin-_xlpm.Init&gt;0, _xlfn.XLOOKUP(MIN(4,_xlpm.X+_xlpm.Fin-_xlpm.Init),Exp_Shift[[Number]:[Number]],Exp_Shift[[Rating]:[Rating]],0,0),IF(_xlpm.Fin-_xlpm.Init&lt;0,_xlfn.XLOOKUP(MAX(0,_xlpm.X-1),Exp_Shift[[Number]:[Number]],Exp_Shift[[Rating]:[Rating]],0,0),T68)))</f>
        <v>M</v>
      </c>
      <c r="U160" t="str" cm="1">
        <f t="array" ref="U160">_xlfn.LET(_xlpm.Fin,_xlfn.XLOOKUP(N160,Exp_Shift[[Rating]:[Rating]],Exp_Shift[[Number]:[Number]],0,0),_xlpm.Init,_xlfn.XLOOKUP(N68,Exp_Shift[[Rating]:[Rating]],Exp_Shift[[Number]:[Number]],0,0),_xlpm.X,_xlfn.XLOOKUP(U68,Exp_Shift[[Rating]:[Rating]],Exp_Shift[[Number]:[Number]],0,0), IF(_xlpm.Fin-_xlpm.Init&gt;0, _xlfn.XLOOKUP(MIN(4,_xlpm.X+_xlpm.Fin-_xlpm.Init),Exp_Shift[[Number]:[Number]],Exp_Shift[[Rating]:[Rating]],0,0),IF(_xlpm.Fin-_xlpm.Init&lt;0,_xlfn.XLOOKUP(MAX(0,_xlpm.X-1),Exp_Shift[[Number]:[Number]],Exp_Shift[[Rating]:[Rating]],0,0),U68)))</f>
        <v>M</v>
      </c>
      <c r="V160" t="str" cm="1">
        <f t="array" ref="V160">_xlfn.LET(_xlpm.Fin,_xlfn.XLOOKUP(O160,Exp_Shift[[Rating]:[Rating]],Exp_Shift[[Number]:[Number]],0,0),_xlpm.Init,_xlfn.XLOOKUP(O68,Exp_Shift[[Rating]:[Rating]],Exp_Shift[[Number]:[Number]],0,0),_xlpm.X,_xlfn.XLOOKUP(V68,Exp_Shift[[Rating]:[Rating]],Exp_Shift[[Number]:[Number]],0,0), IF(_xlpm.Fin-_xlpm.Init&gt;0, _xlfn.XLOOKUP(MIN(4,_xlpm.X+_xlpm.Fin-_xlpm.Init),Exp_Shift[[Number]:[Number]],Exp_Shift[[Rating]:[Rating]],0,0),IF(_xlpm.Fin-_xlpm.Init&lt;0,_xlfn.XLOOKUP(MAX(0,_xlpm.X-1),Exp_Shift[[Number]:[Number]],Exp_Shift[[Rating]:[Rating]],0,0),V68)))</f>
        <v>E</v>
      </c>
      <c r="W160" t="str" cm="1">
        <f t="array" ref="W160">_xlfn.LET(_xlpm.Fin,_xlfn.XLOOKUP(P160,Exp_Shift[[Rating]:[Rating]],Exp_Shift[[Number]:[Number]],0,0),_xlpm.Init,_xlfn.XLOOKUP(P68,Exp_Shift[[Rating]:[Rating]],Exp_Shift[[Number]:[Number]],0,0),_xlpm.X,_xlfn.XLOOKUP(W68,Exp_Shift[[Rating]:[Rating]],Exp_Shift[[Number]:[Number]],0,0), IF(_xlpm.Fin-_xlpm.Init&gt;0, _xlfn.XLOOKUP(MIN(4,_xlpm.X+_xlpm.Fin-_xlpm.Init),Exp_Shift[[Number]:[Number]],Exp_Shift[[Rating]:[Rating]],0,0),IF(_xlpm.Fin-_xlpm.Init&lt;0,_xlfn.XLOOKUP(MAX(0,_xlpm.X-1),Exp_Shift[[Number]:[Number]],Exp_Shift[[Rating]:[Rating]],0,0),W68)))</f>
        <v>E</v>
      </c>
      <c r="X160" s="19" t="str" cm="1">
        <f t="array" ref="X160">_xlfn.LET(_xlpm.Fin,_xlfn.XLOOKUP(Q160,Exp_Shift[[Rating]:[Rating]],Exp_Shift[[Number]:[Number]],0,0),_xlpm.Init,_xlfn.XLOOKUP(Q68,Exp_Shift[[Rating]:[Rating]],Exp_Shift[[Number]:[Number]],0,0),_xlpm.X,_xlfn.XLOOKUP(X68,Exp_Shift[[Rating]:[Rating]],Exp_Shift[[Number]:[Number]],0,0), IF(_xlpm.Fin-_xlpm.Init&gt;0, _xlfn.XLOOKUP(MIN(4,_xlpm.X+_xlpm.Fin-_xlpm.Init),Exp_Shift[[Number]:[Number]],Exp_Shift[[Rating]:[Rating]],0,0),IF(_xlpm.Fin-_xlpm.Init&lt;0,_xlfn.XLOOKUP(MAX(0,_xlpm.X-1),Exp_Shift[[Number]:[Number]],Exp_Shift[[Rating]:[Rating]],0,0),X68)))</f>
        <v>M</v>
      </c>
      <c r="Y160" s="23" t="str" cm="1">
        <f t="array" ref="Y160">_xlfn.LET(_xlpm.Fin,_xlfn.XLOOKUP(K160,Exp_Shift[[Rating]:[Rating]],Exp_Shift[[Number]:[Number]],0,0),_xlpm.Init,_xlfn.XLOOKUP(K68,Exp_Shift[[Rating]:[Rating]],Exp_Shift[[Number]:[Number]],0,0),_xlpm.X,_xlfn.XLOOKUP(Y68,Exp_Shift[[Rating]:[Rating]],Exp_Shift[[Number]:[Number]],0,0), IF(_xlpm.Fin-_xlpm.Init&gt;0, _xlfn.XLOOKUP(MIN(4,_xlpm.X+1),Exp_Shift[[Number]:[Number]],Exp_Shift[[Rating]:[Rating]],0,0),IF(_xlpm.Fin-_xlpm.Init&lt;0,_xlfn.XLOOKUP(MAX(0,_xlpm.X),Exp_Shift[[Number]:[Number]],Exp_Shift[[Rating]:[Rating]],0,0),Y68)))</f>
        <v>H</v>
      </c>
      <c r="Z160" t="str" cm="1">
        <f t="array" ref="Z160">_xlfn.LET(_xlpm.Fin,_xlfn.XLOOKUP(L160,Exp_Shift[[Rating]:[Rating]],Exp_Shift[[Number]:[Number]],0,0),_xlpm.Init,_xlfn.XLOOKUP(L68,Exp_Shift[[Rating]:[Rating]],Exp_Shift[[Number]:[Number]],0,0),_xlpm.X,_xlfn.XLOOKUP(Z68,Exp_Shift[[Rating]:[Rating]],Exp_Shift[[Number]:[Number]],0,0), IF(_xlpm.Fin-_xlpm.Init&gt;0, _xlfn.XLOOKUP(MIN(4,_xlpm.X+1),Exp_Shift[[Number]:[Number]],Exp_Shift[[Rating]:[Rating]],0,0),IF(_xlpm.Fin-_xlpm.Init&lt;0,_xlfn.XLOOKUP(MAX(0,_xlpm.X),Exp_Shift[[Number]:[Number]],Exp_Shift[[Rating]:[Rating]],0,0),Z68)))</f>
        <v>H</v>
      </c>
      <c r="AA160" t="str" cm="1">
        <f t="array" ref="AA160">_xlfn.LET(_xlpm.Fin,_xlfn.XLOOKUP(M160,Exp_Shift[[Rating]:[Rating]],Exp_Shift[[Number]:[Number]],0,0),_xlpm.Init,_xlfn.XLOOKUP(M68,Exp_Shift[[Rating]:[Rating]],Exp_Shift[[Number]:[Number]],0,0),_xlpm.X,_xlfn.XLOOKUP(AA68,Exp_Shift[[Rating]:[Rating]],Exp_Shift[[Number]:[Number]],0,0), IF(_xlpm.Fin-_xlpm.Init&gt;0, _xlfn.XLOOKUP(MIN(4,_xlpm.X+1),Exp_Shift[[Number]:[Number]],Exp_Shift[[Rating]:[Rating]],0,0),IF(_xlpm.Fin-_xlpm.Init&lt;0,_xlfn.XLOOKUP(MAX(0,_xlpm.X),Exp_Shift[[Number]:[Number]],Exp_Shift[[Rating]:[Rating]],0,0),AA68)))</f>
        <v>E</v>
      </c>
      <c r="AB160" t="str" cm="1">
        <f t="array" ref="AB160">_xlfn.LET(_xlpm.Fin,_xlfn.XLOOKUP(N160,Exp_Shift[[Rating]:[Rating]],Exp_Shift[[Number]:[Number]],0,0),_xlpm.Init,_xlfn.XLOOKUP(N68,Exp_Shift[[Rating]:[Rating]],Exp_Shift[[Number]:[Number]],0,0),_xlpm.X,_xlfn.XLOOKUP(AB68,Exp_Shift[[Rating]:[Rating]],Exp_Shift[[Number]:[Number]],0,0), IF(_xlpm.Fin-_xlpm.Init&gt;0, _xlfn.XLOOKUP(MIN(4,_xlpm.X+1),Exp_Shift[[Number]:[Number]],Exp_Shift[[Rating]:[Rating]],0,0),IF(_xlpm.Fin-_xlpm.Init&lt;0,_xlfn.XLOOKUP(MAX(0,_xlpm.X),Exp_Shift[[Number]:[Number]],Exp_Shift[[Rating]:[Rating]],0,0),AB68)))</f>
        <v>E</v>
      </c>
      <c r="AC160" t="str" cm="1">
        <f t="array" ref="AC160">_xlfn.LET(_xlpm.Fin,_xlfn.XLOOKUP(O160,Exp_Shift[[Rating]:[Rating]],Exp_Shift[[Number]:[Number]],0,0),_xlpm.Init,_xlfn.XLOOKUP(O68,Exp_Shift[[Rating]:[Rating]],Exp_Shift[[Number]:[Number]],0,0),_xlpm.X,_xlfn.XLOOKUP(AC68,Exp_Shift[[Rating]:[Rating]],Exp_Shift[[Number]:[Number]],0,0), IF(_xlpm.Fin-_xlpm.Init&gt;0, _xlfn.XLOOKUP(MIN(4,_xlpm.X+1),Exp_Shift[[Number]:[Number]],Exp_Shift[[Rating]:[Rating]],0,0),IF(_xlpm.Fin-_xlpm.Init&lt;0,_xlfn.XLOOKUP(MAX(0,_xlpm.X),Exp_Shift[[Number]:[Number]],Exp_Shift[[Rating]:[Rating]],0,0),AC68)))</f>
        <v>L</v>
      </c>
      <c r="AD160" t="str" cm="1">
        <f t="array" ref="AD160">_xlfn.LET(_xlpm.Fin,_xlfn.XLOOKUP(P160,Exp_Shift[[Rating]:[Rating]],Exp_Shift[[Number]:[Number]],0,0),_xlpm.Init,_xlfn.XLOOKUP(P68,Exp_Shift[[Rating]:[Rating]],Exp_Shift[[Number]:[Number]],0,0),_xlpm.X,_xlfn.XLOOKUP(AD68,Exp_Shift[[Rating]:[Rating]],Exp_Shift[[Number]:[Number]],0,0), IF(_xlpm.Fin-_xlpm.Init&gt;0, _xlfn.XLOOKUP(MIN(4,_xlpm.X+1),Exp_Shift[[Number]:[Number]],Exp_Shift[[Rating]:[Rating]],0,0),IF(_xlpm.Fin-_xlpm.Init&lt;0,_xlfn.XLOOKUP(MAX(0,_xlpm.X),Exp_Shift[[Number]:[Number]],Exp_Shift[[Rating]:[Rating]],0,0),AD68)))</f>
        <v>L</v>
      </c>
      <c r="AE160" s="27" t="str" cm="1">
        <f t="array" ref="AE160">_xlfn.LET(_xlpm.Fin,_xlfn.XLOOKUP(Q160,Exp_Shift[[Rating]:[Rating]],Exp_Shift[[Number]:[Number]],0,0),_xlpm.Init,_xlfn.XLOOKUP(Q68,Exp_Shift[[Rating]:[Rating]],Exp_Shift[[Number]:[Number]],0,0),_xlpm.X,_xlfn.XLOOKUP(AE68,Exp_Shift[[Rating]:[Rating]],Exp_Shift[[Number]:[Number]],0,0), IF(_xlpm.Fin-_xlpm.Init&gt;0, _xlfn.XLOOKUP(MIN(4,_xlpm.X+1),Exp_Shift[[Number]:[Number]],Exp_Shift[[Rating]:[Rating]],0,0),IF(_xlpm.Fin-_xlpm.Init&lt;0,_xlfn.XLOOKUP(MAX(0,_xlpm.X),Exp_Shift[[Number]:[Number]],Exp_Shift[[Rating]:[Rating]],0,0),AE68)))</f>
        <v>E</v>
      </c>
    </row>
    <row r="161" spans="8:31" ht="18" x14ac:dyDescent="0.35">
      <c r="H161" s="26">
        <v>104</v>
      </c>
      <c r="I161" s="332" t="s">
        <v>120</v>
      </c>
      <c r="J161" s="328" t="s">
        <v>224</v>
      </c>
      <c r="K161" s="23" t="str" cm="1">
        <f t="array" ref="K161">_xlfn.SWITCH(K138,"N/A","L","L","M","M","H","H","E","E","N/A")</f>
        <v>L</v>
      </c>
      <c r="L161" t="str" cm="1">
        <f t="array" ref="L161">_xlfn.SWITCH(L138,"N/A","L","L","M","M","H","H","E","E","N/A")</f>
        <v>M</v>
      </c>
      <c r="M161" t="str" cm="1">
        <f t="array" ref="M161">_xlfn.SWITCH(M138,"N/A","L","L","M","M","H","H","E","E","N/A")</f>
        <v>M</v>
      </c>
      <c r="N161" t="str" cm="1">
        <f t="array" ref="N161">_xlfn.SWITCH(N138,"N/A","L","L","M","M","H","H","E","E","N/A")</f>
        <v>E</v>
      </c>
      <c r="O161" t="str" cm="1">
        <f t="array" ref="O161">_xlfn.SWITCH(O138,"N/A","L","L","M","M","H","H","E","E","N/A")</f>
        <v>E</v>
      </c>
      <c r="P161" t="str" cm="1">
        <f t="array" ref="P161">_xlfn.SWITCH(P138,"N/A","L","L","M","M","H","H","E","E","N/A")</f>
        <v>E</v>
      </c>
      <c r="Q161" s="19" t="str" cm="1">
        <f t="array" ref="Q161">_xlfn.SWITCH(Q138,"N/A","L","L","M","M","H","H","E","E","N/A")</f>
        <v>N/A</v>
      </c>
      <c r="R161" s="23" t="str" cm="1">
        <f t="array" ref="R161">_xlfn.LET(_xlpm.Fin,_xlfn.XLOOKUP(K161,Exp_Shift[[Rating]:[Rating]],Exp_Shift[[Number]:[Number]],0,0),_xlpm.Init,_xlfn.XLOOKUP(K69,Exp_Shift[[Rating]:[Rating]],Exp_Shift[[Number]:[Number]],0,0),_xlpm.X,_xlfn.XLOOKUP(R69,Exp_Shift[[Rating]:[Rating]],Exp_Shift[[Number]:[Number]],0,0), IF(_xlpm.Fin-_xlpm.Init&gt;0, _xlfn.XLOOKUP(MIN(4,_xlpm.X+_xlpm.Fin-_xlpm.Init),Exp_Shift[[Number]:[Number]],Exp_Shift[[Rating]:[Rating]],0,0),IF(_xlpm.Fin-_xlpm.Init&lt;0,_xlfn.XLOOKUP(MAX(0,_xlpm.X-1),Exp_Shift[[Number]:[Number]],Exp_Shift[[Rating]:[Rating]],0,0),R69)))</f>
        <v>M</v>
      </c>
      <c r="S161" t="str" cm="1">
        <f t="array" ref="S161">_xlfn.LET(_xlpm.Fin,_xlfn.XLOOKUP(L161,Exp_Shift[[Rating]:[Rating]],Exp_Shift[[Number]:[Number]],0,0),_xlpm.Init,_xlfn.XLOOKUP(L69,Exp_Shift[[Rating]:[Rating]],Exp_Shift[[Number]:[Number]],0,0),_xlpm.X,_xlfn.XLOOKUP(S69,Exp_Shift[[Rating]:[Rating]],Exp_Shift[[Number]:[Number]],0,0), IF(_xlpm.Fin-_xlpm.Init&gt;0, _xlfn.XLOOKUP(MIN(4,_xlpm.X+_xlpm.Fin-_xlpm.Init),Exp_Shift[[Number]:[Number]],Exp_Shift[[Rating]:[Rating]],0,0),IF(_xlpm.Fin-_xlpm.Init&lt;0,_xlfn.XLOOKUP(MAX(0,_xlpm.X-1),Exp_Shift[[Number]:[Number]],Exp_Shift[[Rating]:[Rating]],0,0),S69)))</f>
        <v>M</v>
      </c>
      <c r="T161" t="str" cm="1">
        <f t="array" ref="T161">_xlfn.LET(_xlpm.Fin,_xlfn.XLOOKUP(M161,Exp_Shift[[Rating]:[Rating]],Exp_Shift[[Number]:[Number]],0,0),_xlpm.Init,_xlfn.XLOOKUP(M69,Exp_Shift[[Rating]:[Rating]],Exp_Shift[[Number]:[Number]],0,0),_xlpm.X,_xlfn.XLOOKUP(T69,Exp_Shift[[Rating]:[Rating]],Exp_Shift[[Number]:[Number]],0,0), IF(_xlpm.Fin-_xlpm.Init&gt;0, _xlfn.XLOOKUP(MIN(4,_xlpm.X+_xlpm.Fin-_xlpm.Init),Exp_Shift[[Number]:[Number]],Exp_Shift[[Rating]:[Rating]],0,0),IF(_xlpm.Fin-_xlpm.Init&lt;0,_xlfn.XLOOKUP(MAX(0,_xlpm.X-1),Exp_Shift[[Number]:[Number]],Exp_Shift[[Rating]:[Rating]],0,0),T69)))</f>
        <v>H</v>
      </c>
      <c r="U161" t="str" cm="1">
        <f t="array" ref="U161">_xlfn.LET(_xlpm.Fin,_xlfn.XLOOKUP(N161,Exp_Shift[[Rating]:[Rating]],Exp_Shift[[Number]:[Number]],0,0),_xlpm.Init,_xlfn.XLOOKUP(N69,Exp_Shift[[Rating]:[Rating]],Exp_Shift[[Number]:[Number]],0,0),_xlpm.X,_xlfn.XLOOKUP(U69,Exp_Shift[[Rating]:[Rating]],Exp_Shift[[Number]:[Number]],0,0), IF(_xlpm.Fin-_xlpm.Init&gt;0, _xlfn.XLOOKUP(MIN(4,_xlpm.X+_xlpm.Fin-_xlpm.Init),Exp_Shift[[Number]:[Number]],Exp_Shift[[Rating]:[Rating]],0,0),IF(_xlpm.Fin-_xlpm.Init&lt;0,_xlfn.XLOOKUP(MAX(0,_xlpm.X-1),Exp_Shift[[Number]:[Number]],Exp_Shift[[Rating]:[Rating]],0,0),U69)))</f>
        <v>E</v>
      </c>
      <c r="V161" t="str" cm="1">
        <f t="array" ref="V161">_xlfn.LET(_xlpm.Fin,_xlfn.XLOOKUP(O161,Exp_Shift[[Rating]:[Rating]],Exp_Shift[[Number]:[Number]],0,0),_xlpm.Init,_xlfn.XLOOKUP(O69,Exp_Shift[[Rating]:[Rating]],Exp_Shift[[Number]:[Number]],0,0),_xlpm.X,_xlfn.XLOOKUP(V69,Exp_Shift[[Rating]:[Rating]],Exp_Shift[[Number]:[Number]],0,0), IF(_xlpm.Fin-_xlpm.Init&gt;0, _xlfn.XLOOKUP(MIN(4,_xlpm.X+_xlpm.Fin-_xlpm.Init),Exp_Shift[[Number]:[Number]],Exp_Shift[[Rating]:[Rating]],0,0),IF(_xlpm.Fin-_xlpm.Init&lt;0,_xlfn.XLOOKUP(MAX(0,_xlpm.X-1),Exp_Shift[[Number]:[Number]],Exp_Shift[[Rating]:[Rating]],0,0),V69)))</f>
        <v>E</v>
      </c>
      <c r="W161" t="str" cm="1">
        <f t="array" ref="W161">_xlfn.LET(_xlpm.Fin,_xlfn.XLOOKUP(P161,Exp_Shift[[Rating]:[Rating]],Exp_Shift[[Number]:[Number]],0,0),_xlpm.Init,_xlfn.XLOOKUP(P69,Exp_Shift[[Rating]:[Rating]],Exp_Shift[[Number]:[Number]],0,0),_xlpm.X,_xlfn.XLOOKUP(W69,Exp_Shift[[Rating]:[Rating]],Exp_Shift[[Number]:[Number]],0,0), IF(_xlpm.Fin-_xlpm.Init&gt;0, _xlfn.XLOOKUP(MIN(4,_xlpm.X+_xlpm.Fin-_xlpm.Init),Exp_Shift[[Number]:[Number]],Exp_Shift[[Rating]:[Rating]],0,0),IF(_xlpm.Fin-_xlpm.Init&lt;0,_xlfn.XLOOKUP(MAX(0,_xlpm.X-1),Exp_Shift[[Number]:[Number]],Exp_Shift[[Rating]:[Rating]],0,0),W69)))</f>
        <v>E</v>
      </c>
      <c r="X161" s="19" t="str" cm="1">
        <f t="array" ref="X161">_xlfn.LET(_xlpm.Fin,_xlfn.XLOOKUP(Q161,Exp_Shift[[Rating]:[Rating]],Exp_Shift[[Number]:[Number]],0,0),_xlpm.Init,_xlfn.XLOOKUP(Q69,Exp_Shift[[Rating]:[Rating]],Exp_Shift[[Number]:[Number]],0,0),_xlpm.X,_xlfn.XLOOKUP(X69,Exp_Shift[[Rating]:[Rating]],Exp_Shift[[Number]:[Number]],0,0), IF(_xlpm.Fin-_xlpm.Init&gt;0, _xlfn.XLOOKUP(MIN(4,_xlpm.X+_xlpm.Fin-_xlpm.Init),Exp_Shift[[Number]:[Number]],Exp_Shift[[Rating]:[Rating]],0,0),IF(_xlpm.Fin-_xlpm.Init&lt;0,_xlfn.XLOOKUP(MAX(0,_xlpm.X-1),Exp_Shift[[Number]:[Number]],Exp_Shift[[Rating]:[Rating]],0,0),X69)))</f>
        <v>N/A</v>
      </c>
      <c r="Y161" s="23" t="str" cm="1">
        <f t="array" ref="Y161">_xlfn.LET(_xlpm.Fin,_xlfn.XLOOKUP(K161,Exp_Shift[[Rating]:[Rating]],Exp_Shift[[Number]:[Number]],0,0),_xlpm.Init,_xlfn.XLOOKUP(K69,Exp_Shift[[Rating]:[Rating]],Exp_Shift[[Number]:[Number]],0,0),_xlpm.X,_xlfn.XLOOKUP(Y69,Exp_Shift[[Rating]:[Rating]],Exp_Shift[[Number]:[Number]],0,0), IF(_xlpm.Fin-_xlpm.Init&gt;0, _xlfn.XLOOKUP(MIN(4,_xlpm.X+1),Exp_Shift[[Number]:[Number]],Exp_Shift[[Rating]:[Rating]],0,0),IF(_xlpm.Fin-_xlpm.Init&lt;0,_xlfn.XLOOKUP(MAX(0,_xlpm.X),Exp_Shift[[Number]:[Number]],Exp_Shift[[Rating]:[Rating]],0,0),Y69)))</f>
        <v>E</v>
      </c>
      <c r="Z161" t="str" cm="1">
        <f t="array" ref="Z161">_xlfn.LET(_xlpm.Fin,_xlfn.XLOOKUP(L161,Exp_Shift[[Rating]:[Rating]],Exp_Shift[[Number]:[Number]],0,0),_xlpm.Init,_xlfn.XLOOKUP(L69,Exp_Shift[[Rating]:[Rating]],Exp_Shift[[Number]:[Number]],0,0),_xlpm.X,_xlfn.XLOOKUP(Z69,Exp_Shift[[Rating]:[Rating]],Exp_Shift[[Number]:[Number]],0,0), IF(_xlpm.Fin-_xlpm.Init&gt;0, _xlfn.XLOOKUP(MIN(4,_xlpm.X+1),Exp_Shift[[Number]:[Number]],Exp_Shift[[Rating]:[Rating]],0,0),IF(_xlpm.Fin-_xlpm.Init&lt;0,_xlfn.XLOOKUP(MAX(0,_xlpm.X),Exp_Shift[[Number]:[Number]],Exp_Shift[[Rating]:[Rating]],0,0),Z69)))</f>
        <v>E</v>
      </c>
      <c r="AA161" t="str" cm="1">
        <f t="array" ref="AA161">_xlfn.LET(_xlpm.Fin,_xlfn.XLOOKUP(M161,Exp_Shift[[Rating]:[Rating]],Exp_Shift[[Number]:[Number]],0,0),_xlpm.Init,_xlfn.XLOOKUP(M69,Exp_Shift[[Rating]:[Rating]],Exp_Shift[[Number]:[Number]],0,0),_xlpm.X,_xlfn.XLOOKUP(AA69,Exp_Shift[[Rating]:[Rating]],Exp_Shift[[Number]:[Number]],0,0), IF(_xlpm.Fin-_xlpm.Init&gt;0, _xlfn.XLOOKUP(MIN(4,_xlpm.X+1),Exp_Shift[[Number]:[Number]],Exp_Shift[[Rating]:[Rating]],0,0),IF(_xlpm.Fin-_xlpm.Init&lt;0,_xlfn.XLOOKUP(MAX(0,_xlpm.X),Exp_Shift[[Number]:[Number]],Exp_Shift[[Rating]:[Rating]],0,0),AA69)))</f>
        <v>E</v>
      </c>
      <c r="AB161" t="str" cm="1">
        <f t="array" ref="AB161">_xlfn.LET(_xlpm.Fin,_xlfn.XLOOKUP(N161,Exp_Shift[[Rating]:[Rating]],Exp_Shift[[Number]:[Number]],0,0),_xlpm.Init,_xlfn.XLOOKUP(N69,Exp_Shift[[Rating]:[Rating]],Exp_Shift[[Number]:[Number]],0,0),_xlpm.X,_xlfn.XLOOKUP(AB69,Exp_Shift[[Rating]:[Rating]],Exp_Shift[[Number]:[Number]],0,0), IF(_xlpm.Fin-_xlpm.Init&gt;0, _xlfn.XLOOKUP(MIN(4,_xlpm.X+1),Exp_Shift[[Number]:[Number]],Exp_Shift[[Rating]:[Rating]],0,0),IF(_xlpm.Fin-_xlpm.Init&lt;0,_xlfn.XLOOKUP(MAX(0,_xlpm.X),Exp_Shift[[Number]:[Number]],Exp_Shift[[Rating]:[Rating]],0,0),AB69)))</f>
        <v>L</v>
      </c>
      <c r="AC161" t="str" cm="1">
        <f t="array" ref="AC161">_xlfn.LET(_xlpm.Fin,_xlfn.XLOOKUP(O161,Exp_Shift[[Rating]:[Rating]],Exp_Shift[[Number]:[Number]],0,0),_xlpm.Init,_xlfn.XLOOKUP(O69,Exp_Shift[[Rating]:[Rating]],Exp_Shift[[Number]:[Number]],0,0),_xlpm.X,_xlfn.XLOOKUP(AC69,Exp_Shift[[Rating]:[Rating]],Exp_Shift[[Number]:[Number]],0,0), IF(_xlpm.Fin-_xlpm.Init&gt;0, _xlfn.XLOOKUP(MIN(4,_xlpm.X+1),Exp_Shift[[Number]:[Number]],Exp_Shift[[Rating]:[Rating]],0,0),IF(_xlpm.Fin-_xlpm.Init&lt;0,_xlfn.XLOOKUP(MAX(0,_xlpm.X),Exp_Shift[[Number]:[Number]],Exp_Shift[[Rating]:[Rating]],0,0),AC69)))</f>
        <v>L</v>
      </c>
      <c r="AD161" t="str" cm="1">
        <f t="array" ref="AD161">_xlfn.LET(_xlpm.Fin,_xlfn.XLOOKUP(P161,Exp_Shift[[Rating]:[Rating]],Exp_Shift[[Number]:[Number]],0,0),_xlpm.Init,_xlfn.XLOOKUP(P69,Exp_Shift[[Rating]:[Rating]],Exp_Shift[[Number]:[Number]],0,0),_xlpm.X,_xlfn.XLOOKUP(AD69,Exp_Shift[[Rating]:[Rating]],Exp_Shift[[Number]:[Number]],0,0), IF(_xlpm.Fin-_xlpm.Init&gt;0, _xlfn.XLOOKUP(MIN(4,_xlpm.X+1),Exp_Shift[[Number]:[Number]],Exp_Shift[[Rating]:[Rating]],0,0),IF(_xlpm.Fin-_xlpm.Init&lt;0,_xlfn.XLOOKUP(MAX(0,_xlpm.X),Exp_Shift[[Number]:[Number]],Exp_Shift[[Rating]:[Rating]],0,0),AD69)))</f>
        <v>L</v>
      </c>
      <c r="AE161" s="27" t="str" cm="1">
        <f t="array" ref="AE161">_xlfn.LET(_xlpm.Fin,_xlfn.XLOOKUP(Q161,Exp_Shift[[Rating]:[Rating]],Exp_Shift[[Number]:[Number]],0,0),_xlpm.Init,_xlfn.XLOOKUP(Q69,Exp_Shift[[Rating]:[Rating]],Exp_Shift[[Number]:[Number]],0,0),_xlpm.X,_xlfn.XLOOKUP(AE69,Exp_Shift[[Rating]:[Rating]],Exp_Shift[[Number]:[Number]],0,0), IF(_xlpm.Fin-_xlpm.Init&gt;0, _xlfn.XLOOKUP(MIN(4,_xlpm.X+1),Exp_Shift[[Number]:[Number]],Exp_Shift[[Rating]:[Rating]],0,0),IF(_xlpm.Fin-_xlpm.Init&lt;0,_xlfn.XLOOKUP(MAX(0,_xlpm.X),Exp_Shift[[Number]:[Number]],Exp_Shift[[Rating]:[Rating]],0,0),AE69)))</f>
        <v>M</v>
      </c>
    </row>
    <row r="162" spans="8:31" ht="18" x14ac:dyDescent="0.35">
      <c r="H162" s="26">
        <v>105</v>
      </c>
      <c r="I162" s="332" t="s">
        <v>120</v>
      </c>
      <c r="J162" s="328" t="s">
        <v>212</v>
      </c>
      <c r="K162" s="23" t="str" cm="1">
        <f t="array" ref="K162">_xlfn.SWITCH(K139,"N/A","L","L","M","M","H","H","E","E","N/A")</f>
        <v>L</v>
      </c>
      <c r="L162" t="str" cm="1">
        <f t="array" ref="L162">_xlfn.SWITCH(L139,"N/A","L","L","M","M","H","H","E","E","N/A")</f>
        <v>L</v>
      </c>
      <c r="M162" t="str" cm="1">
        <f t="array" ref="M162">_xlfn.SWITCH(M139,"N/A","L","L","M","M","H","H","E","E","N/A")</f>
        <v>M</v>
      </c>
      <c r="N162" t="str" cm="1">
        <f t="array" ref="N162">_xlfn.SWITCH(N139,"N/A","L","L","M","M","H","H","E","E","N/A")</f>
        <v>L</v>
      </c>
      <c r="O162" t="str" cm="1">
        <f t="array" ref="O162">_xlfn.SWITCH(O139,"N/A","L","L","M","M","H","H","E","E","N/A")</f>
        <v>E</v>
      </c>
      <c r="P162" t="str" cm="1">
        <f t="array" ref="P162">_xlfn.SWITCH(P139,"N/A","L","L","M","M","H","H","E","E","N/A")</f>
        <v>E</v>
      </c>
      <c r="Q162" s="19" t="str" cm="1">
        <f t="array" ref="Q162">_xlfn.SWITCH(Q139,"N/A","L","L","M","M","H","H","E","E","N/A")</f>
        <v>L</v>
      </c>
      <c r="R162" s="23" t="str" cm="1">
        <f t="array" ref="R162">_xlfn.LET(_xlpm.Fin,_xlfn.XLOOKUP(K162,Exp_Shift[[Rating]:[Rating]],Exp_Shift[[Number]:[Number]],0,0),_xlpm.Init,_xlfn.XLOOKUP(K70,Exp_Shift[[Rating]:[Rating]],Exp_Shift[[Number]:[Number]],0,0),_xlpm.X,_xlfn.XLOOKUP(R70,Exp_Shift[[Rating]:[Rating]],Exp_Shift[[Number]:[Number]],0,0), IF(_xlpm.Fin-_xlpm.Init&gt;0, _xlfn.XLOOKUP(MIN(4,_xlpm.X+_xlpm.Fin-_xlpm.Init),Exp_Shift[[Number]:[Number]],Exp_Shift[[Rating]:[Rating]],0,0),IF(_xlpm.Fin-_xlpm.Init&lt;0,_xlfn.XLOOKUP(MAX(0,_xlpm.X-1),Exp_Shift[[Number]:[Number]],Exp_Shift[[Rating]:[Rating]],0,0),R70)))</f>
        <v>M</v>
      </c>
      <c r="S162" t="str" cm="1">
        <f t="array" ref="S162">_xlfn.LET(_xlpm.Fin,_xlfn.XLOOKUP(L162,Exp_Shift[[Rating]:[Rating]],Exp_Shift[[Number]:[Number]],0,0),_xlpm.Init,_xlfn.XLOOKUP(L70,Exp_Shift[[Rating]:[Rating]],Exp_Shift[[Number]:[Number]],0,0),_xlpm.X,_xlfn.XLOOKUP(S70,Exp_Shift[[Rating]:[Rating]],Exp_Shift[[Number]:[Number]],0,0), IF(_xlpm.Fin-_xlpm.Init&gt;0, _xlfn.XLOOKUP(MIN(4,_xlpm.X+_xlpm.Fin-_xlpm.Init),Exp_Shift[[Number]:[Number]],Exp_Shift[[Rating]:[Rating]],0,0),IF(_xlpm.Fin-_xlpm.Init&lt;0,_xlfn.XLOOKUP(MAX(0,_xlpm.X-1),Exp_Shift[[Number]:[Number]],Exp_Shift[[Rating]:[Rating]],0,0),S70)))</f>
        <v>L</v>
      </c>
      <c r="T162" t="str" cm="1">
        <f t="array" ref="T162">_xlfn.LET(_xlpm.Fin,_xlfn.XLOOKUP(M162,Exp_Shift[[Rating]:[Rating]],Exp_Shift[[Number]:[Number]],0,0),_xlpm.Init,_xlfn.XLOOKUP(M70,Exp_Shift[[Rating]:[Rating]],Exp_Shift[[Number]:[Number]],0,0),_xlpm.X,_xlfn.XLOOKUP(T70,Exp_Shift[[Rating]:[Rating]],Exp_Shift[[Number]:[Number]],0,0), IF(_xlpm.Fin-_xlpm.Init&gt;0, _xlfn.XLOOKUP(MIN(4,_xlpm.X+_xlpm.Fin-_xlpm.Init),Exp_Shift[[Number]:[Number]],Exp_Shift[[Rating]:[Rating]],0,0),IF(_xlpm.Fin-_xlpm.Init&lt;0,_xlfn.XLOOKUP(MAX(0,_xlpm.X-1),Exp_Shift[[Number]:[Number]],Exp_Shift[[Rating]:[Rating]],0,0),T70)))</f>
        <v>H</v>
      </c>
      <c r="U162" t="str" cm="1">
        <f t="array" ref="U162">_xlfn.LET(_xlpm.Fin,_xlfn.XLOOKUP(N162,Exp_Shift[[Rating]:[Rating]],Exp_Shift[[Number]:[Number]],0,0),_xlpm.Init,_xlfn.XLOOKUP(N70,Exp_Shift[[Rating]:[Rating]],Exp_Shift[[Number]:[Number]],0,0),_xlpm.X,_xlfn.XLOOKUP(U70,Exp_Shift[[Rating]:[Rating]],Exp_Shift[[Number]:[Number]],0,0), IF(_xlpm.Fin-_xlpm.Init&gt;0, _xlfn.XLOOKUP(MIN(4,_xlpm.X+_xlpm.Fin-_xlpm.Init),Exp_Shift[[Number]:[Number]],Exp_Shift[[Rating]:[Rating]],0,0),IF(_xlpm.Fin-_xlpm.Init&lt;0,_xlfn.XLOOKUP(MAX(0,_xlpm.X-1),Exp_Shift[[Number]:[Number]],Exp_Shift[[Rating]:[Rating]],0,0),U70)))</f>
        <v>M</v>
      </c>
      <c r="V162" t="str" cm="1">
        <f t="array" ref="V162">_xlfn.LET(_xlpm.Fin,_xlfn.XLOOKUP(O162,Exp_Shift[[Rating]:[Rating]],Exp_Shift[[Number]:[Number]],0,0),_xlpm.Init,_xlfn.XLOOKUP(O70,Exp_Shift[[Rating]:[Rating]],Exp_Shift[[Number]:[Number]],0,0),_xlpm.X,_xlfn.XLOOKUP(V70,Exp_Shift[[Rating]:[Rating]],Exp_Shift[[Number]:[Number]],0,0), IF(_xlpm.Fin-_xlpm.Init&gt;0, _xlfn.XLOOKUP(MIN(4,_xlpm.X+_xlpm.Fin-_xlpm.Init),Exp_Shift[[Number]:[Number]],Exp_Shift[[Rating]:[Rating]],0,0),IF(_xlpm.Fin-_xlpm.Init&lt;0,_xlfn.XLOOKUP(MAX(0,_xlpm.X-1),Exp_Shift[[Number]:[Number]],Exp_Shift[[Rating]:[Rating]],0,0),V70)))</f>
        <v>E</v>
      </c>
      <c r="W162" t="str" cm="1">
        <f t="array" ref="W162">_xlfn.LET(_xlpm.Fin,_xlfn.XLOOKUP(P162,Exp_Shift[[Rating]:[Rating]],Exp_Shift[[Number]:[Number]],0,0),_xlpm.Init,_xlfn.XLOOKUP(P70,Exp_Shift[[Rating]:[Rating]],Exp_Shift[[Number]:[Number]],0,0),_xlpm.X,_xlfn.XLOOKUP(W70,Exp_Shift[[Rating]:[Rating]],Exp_Shift[[Number]:[Number]],0,0), IF(_xlpm.Fin-_xlpm.Init&gt;0, _xlfn.XLOOKUP(MIN(4,_xlpm.X+_xlpm.Fin-_xlpm.Init),Exp_Shift[[Number]:[Number]],Exp_Shift[[Rating]:[Rating]],0,0),IF(_xlpm.Fin-_xlpm.Init&lt;0,_xlfn.XLOOKUP(MAX(0,_xlpm.X-1),Exp_Shift[[Number]:[Number]],Exp_Shift[[Rating]:[Rating]],0,0),W70)))</f>
        <v>E</v>
      </c>
      <c r="X162" s="19" t="str" cm="1">
        <f t="array" ref="X162">_xlfn.LET(_xlpm.Fin,_xlfn.XLOOKUP(Q162,Exp_Shift[[Rating]:[Rating]],Exp_Shift[[Number]:[Number]],0,0),_xlpm.Init,_xlfn.XLOOKUP(Q70,Exp_Shift[[Rating]:[Rating]],Exp_Shift[[Number]:[Number]],0,0),_xlpm.X,_xlfn.XLOOKUP(X70,Exp_Shift[[Rating]:[Rating]],Exp_Shift[[Number]:[Number]],0,0), IF(_xlpm.Fin-_xlpm.Init&gt;0, _xlfn.XLOOKUP(MIN(4,_xlpm.X+_xlpm.Fin-_xlpm.Init),Exp_Shift[[Number]:[Number]],Exp_Shift[[Rating]:[Rating]],0,0),IF(_xlpm.Fin-_xlpm.Init&lt;0,_xlfn.XLOOKUP(MAX(0,_xlpm.X-1),Exp_Shift[[Number]:[Number]],Exp_Shift[[Rating]:[Rating]],0,0),X70)))</f>
        <v>M</v>
      </c>
      <c r="Y162" s="23" t="str" cm="1">
        <f t="array" ref="Y162">_xlfn.LET(_xlpm.Fin,_xlfn.XLOOKUP(K162,Exp_Shift[[Rating]:[Rating]],Exp_Shift[[Number]:[Number]],0,0),_xlpm.Init,_xlfn.XLOOKUP(K70,Exp_Shift[[Rating]:[Rating]],Exp_Shift[[Number]:[Number]],0,0),_xlpm.X,_xlfn.XLOOKUP(Y70,Exp_Shift[[Rating]:[Rating]],Exp_Shift[[Number]:[Number]],0,0), IF(_xlpm.Fin-_xlpm.Init&gt;0, _xlfn.XLOOKUP(MIN(4,_xlpm.X+1),Exp_Shift[[Number]:[Number]],Exp_Shift[[Rating]:[Rating]],0,0),IF(_xlpm.Fin-_xlpm.Init&lt;0,_xlfn.XLOOKUP(MAX(0,_xlpm.X),Exp_Shift[[Number]:[Number]],Exp_Shift[[Rating]:[Rating]],0,0),Y70)))</f>
        <v>E</v>
      </c>
      <c r="Z162" t="str" cm="1">
        <f t="array" ref="Z162">_xlfn.LET(_xlpm.Fin,_xlfn.XLOOKUP(L162,Exp_Shift[[Rating]:[Rating]],Exp_Shift[[Number]:[Number]],0,0),_xlpm.Init,_xlfn.XLOOKUP(L70,Exp_Shift[[Rating]:[Rating]],Exp_Shift[[Number]:[Number]],0,0),_xlpm.X,_xlfn.XLOOKUP(Z70,Exp_Shift[[Rating]:[Rating]],Exp_Shift[[Number]:[Number]],0,0), IF(_xlpm.Fin-_xlpm.Init&gt;0, _xlfn.XLOOKUP(MIN(4,_xlpm.X+1),Exp_Shift[[Number]:[Number]],Exp_Shift[[Rating]:[Rating]],0,0),IF(_xlpm.Fin-_xlpm.Init&lt;0,_xlfn.XLOOKUP(MAX(0,_xlpm.X),Exp_Shift[[Number]:[Number]],Exp_Shift[[Rating]:[Rating]],0,0),Z70)))</f>
        <v>H</v>
      </c>
      <c r="AA162" t="str" cm="1">
        <f t="array" ref="AA162">_xlfn.LET(_xlpm.Fin,_xlfn.XLOOKUP(M162,Exp_Shift[[Rating]:[Rating]],Exp_Shift[[Number]:[Number]],0,0),_xlpm.Init,_xlfn.XLOOKUP(M70,Exp_Shift[[Rating]:[Rating]],Exp_Shift[[Number]:[Number]],0,0),_xlpm.X,_xlfn.XLOOKUP(AA70,Exp_Shift[[Rating]:[Rating]],Exp_Shift[[Number]:[Number]],0,0), IF(_xlpm.Fin-_xlpm.Init&gt;0, _xlfn.XLOOKUP(MIN(4,_xlpm.X+1),Exp_Shift[[Number]:[Number]],Exp_Shift[[Rating]:[Rating]],0,0),IF(_xlpm.Fin-_xlpm.Init&lt;0,_xlfn.XLOOKUP(MAX(0,_xlpm.X),Exp_Shift[[Number]:[Number]],Exp_Shift[[Rating]:[Rating]],0,0),AA70)))</f>
        <v>E</v>
      </c>
      <c r="AB162" t="str" cm="1">
        <f t="array" ref="AB162">_xlfn.LET(_xlpm.Fin,_xlfn.XLOOKUP(N162,Exp_Shift[[Rating]:[Rating]],Exp_Shift[[Number]:[Number]],0,0),_xlpm.Init,_xlfn.XLOOKUP(N70,Exp_Shift[[Rating]:[Rating]],Exp_Shift[[Number]:[Number]],0,0),_xlpm.X,_xlfn.XLOOKUP(AB70,Exp_Shift[[Rating]:[Rating]],Exp_Shift[[Number]:[Number]],0,0), IF(_xlpm.Fin-_xlpm.Init&gt;0, _xlfn.XLOOKUP(MIN(4,_xlpm.X+1),Exp_Shift[[Number]:[Number]],Exp_Shift[[Rating]:[Rating]],0,0),IF(_xlpm.Fin-_xlpm.Init&lt;0,_xlfn.XLOOKUP(MAX(0,_xlpm.X),Exp_Shift[[Number]:[Number]],Exp_Shift[[Rating]:[Rating]],0,0),AB70)))</f>
        <v>E</v>
      </c>
      <c r="AC162" t="str" cm="1">
        <f t="array" ref="AC162">_xlfn.LET(_xlpm.Fin,_xlfn.XLOOKUP(O162,Exp_Shift[[Rating]:[Rating]],Exp_Shift[[Number]:[Number]],0,0),_xlpm.Init,_xlfn.XLOOKUP(O70,Exp_Shift[[Rating]:[Rating]],Exp_Shift[[Number]:[Number]],0,0),_xlpm.X,_xlfn.XLOOKUP(AC70,Exp_Shift[[Rating]:[Rating]],Exp_Shift[[Number]:[Number]],0,0), IF(_xlpm.Fin-_xlpm.Init&gt;0, _xlfn.XLOOKUP(MIN(4,_xlpm.X+1),Exp_Shift[[Number]:[Number]],Exp_Shift[[Rating]:[Rating]],0,0),IF(_xlpm.Fin-_xlpm.Init&lt;0,_xlfn.XLOOKUP(MAX(0,_xlpm.X),Exp_Shift[[Number]:[Number]],Exp_Shift[[Rating]:[Rating]],0,0),AC70)))</f>
        <v>L</v>
      </c>
      <c r="AD162" t="str" cm="1">
        <f t="array" ref="AD162">_xlfn.LET(_xlpm.Fin,_xlfn.XLOOKUP(P162,Exp_Shift[[Rating]:[Rating]],Exp_Shift[[Number]:[Number]],0,0),_xlpm.Init,_xlfn.XLOOKUP(P70,Exp_Shift[[Rating]:[Rating]],Exp_Shift[[Number]:[Number]],0,0),_xlpm.X,_xlfn.XLOOKUP(AD70,Exp_Shift[[Rating]:[Rating]],Exp_Shift[[Number]:[Number]],0,0), IF(_xlpm.Fin-_xlpm.Init&gt;0, _xlfn.XLOOKUP(MIN(4,_xlpm.X+1),Exp_Shift[[Number]:[Number]],Exp_Shift[[Rating]:[Rating]],0,0),IF(_xlpm.Fin-_xlpm.Init&lt;0,_xlfn.XLOOKUP(MAX(0,_xlpm.X),Exp_Shift[[Number]:[Number]],Exp_Shift[[Rating]:[Rating]],0,0),AD70)))</f>
        <v>L</v>
      </c>
      <c r="AE162" s="27" t="str" cm="1">
        <f t="array" ref="AE162">_xlfn.LET(_xlpm.Fin,_xlfn.XLOOKUP(Q162,Exp_Shift[[Rating]:[Rating]],Exp_Shift[[Number]:[Number]],0,0),_xlpm.Init,_xlfn.XLOOKUP(Q70,Exp_Shift[[Rating]:[Rating]],Exp_Shift[[Number]:[Number]],0,0),_xlpm.X,_xlfn.XLOOKUP(AE70,Exp_Shift[[Rating]:[Rating]],Exp_Shift[[Number]:[Number]],0,0), IF(_xlpm.Fin-_xlpm.Init&gt;0, _xlfn.XLOOKUP(MIN(4,_xlpm.X+1),Exp_Shift[[Number]:[Number]],Exp_Shift[[Rating]:[Rating]],0,0),IF(_xlpm.Fin-_xlpm.Init&lt;0,_xlfn.XLOOKUP(MAX(0,_xlpm.X),Exp_Shift[[Number]:[Number]],Exp_Shift[[Rating]:[Rating]],0,0),AE70)))</f>
        <v>H</v>
      </c>
    </row>
    <row r="163" spans="8:31" ht="18" x14ac:dyDescent="0.35">
      <c r="H163" s="26">
        <v>106</v>
      </c>
      <c r="I163" s="332" t="s">
        <v>120</v>
      </c>
      <c r="J163" s="328" t="s">
        <v>74</v>
      </c>
      <c r="K163" s="23" t="str" cm="1">
        <f t="array" ref="K163">_xlfn.SWITCH(K140,"N/A","L","L","M","M","H","H","E","E","N/A")</f>
        <v>N/A</v>
      </c>
      <c r="L163" t="str" cm="1">
        <f t="array" ref="L163">_xlfn.SWITCH(L140,"N/A","L","L","M","M","H","H","E","E","N/A")</f>
        <v>L</v>
      </c>
      <c r="M163" t="str" cm="1">
        <f t="array" ref="M163">_xlfn.SWITCH(M140,"N/A","L","L","M","M","H","H","E","E","N/A")</f>
        <v>L</v>
      </c>
      <c r="N163" t="str" cm="1">
        <f t="array" ref="N163">_xlfn.SWITCH(N140,"N/A","L","L","M","M","H","H","E","E","N/A")</f>
        <v>E</v>
      </c>
      <c r="O163" t="str" cm="1">
        <f t="array" ref="O163">_xlfn.SWITCH(O140,"N/A","L","L","M","M","H","H","E","E","N/A")</f>
        <v>E</v>
      </c>
      <c r="P163" t="str" cm="1">
        <f t="array" ref="P163">_xlfn.SWITCH(P140,"N/A","L","L","M","M","H","H","E","E","N/A")</f>
        <v>E</v>
      </c>
      <c r="Q163" s="19" t="str" cm="1">
        <f t="array" ref="Q163">_xlfn.SWITCH(Q140,"N/A","L","L","M","M","H","H","E","E","N/A")</f>
        <v>L</v>
      </c>
      <c r="R163" s="23" t="str" cm="1">
        <f t="array" ref="R163">_xlfn.LET(_xlpm.Fin,_xlfn.XLOOKUP(K163,Exp_Shift[[Rating]:[Rating]],Exp_Shift[[Number]:[Number]],0,0),_xlpm.Init,_xlfn.XLOOKUP(K71,Exp_Shift[[Rating]:[Rating]],Exp_Shift[[Number]:[Number]],0,0),_xlpm.X,_xlfn.XLOOKUP(R71,Exp_Shift[[Rating]:[Rating]],Exp_Shift[[Number]:[Number]],0,0), IF(_xlpm.Fin-_xlpm.Init&gt;0, _xlfn.XLOOKUP(MIN(4,_xlpm.X+_xlpm.Fin-_xlpm.Init),Exp_Shift[[Number]:[Number]],Exp_Shift[[Rating]:[Rating]],0,0),IF(_xlpm.Fin-_xlpm.Init&lt;0,_xlfn.XLOOKUP(MAX(0,_xlpm.X-1),Exp_Shift[[Number]:[Number]],Exp_Shift[[Rating]:[Rating]],0,0),R71)))</f>
        <v>L</v>
      </c>
      <c r="S163" t="str" cm="1">
        <f t="array" ref="S163">_xlfn.LET(_xlpm.Fin,_xlfn.XLOOKUP(L163,Exp_Shift[[Rating]:[Rating]],Exp_Shift[[Number]:[Number]],0,0),_xlpm.Init,_xlfn.XLOOKUP(L71,Exp_Shift[[Rating]:[Rating]],Exp_Shift[[Number]:[Number]],0,0),_xlpm.X,_xlfn.XLOOKUP(S71,Exp_Shift[[Rating]:[Rating]],Exp_Shift[[Number]:[Number]],0,0), IF(_xlpm.Fin-_xlpm.Init&gt;0, _xlfn.XLOOKUP(MIN(4,_xlpm.X+_xlpm.Fin-_xlpm.Init),Exp_Shift[[Number]:[Number]],Exp_Shift[[Rating]:[Rating]],0,0),IF(_xlpm.Fin-_xlpm.Init&lt;0,_xlfn.XLOOKUP(MAX(0,_xlpm.X-1),Exp_Shift[[Number]:[Number]],Exp_Shift[[Rating]:[Rating]],0,0),S71)))</f>
        <v>L</v>
      </c>
      <c r="T163" t="str" cm="1">
        <f t="array" ref="T163">_xlfn.LET(_xlpm.Fin,_xlfn.XLOOKUP(M163,Exp_Shift[[Rating]:[Rating]],Exp_Shift[[Number]:[Number]],0,0),_xlpm.Init,_xlfn.XLOOKUP(M71,Exp_Shift[[Rating]:[Rating]],Exp_Shift[[Number]:[Number]],0,0),_xlpm.X,_xlfn.XLOOKUP(T71,Exp_Shift[[Rating]:[Rating]],Exp_Shift[[Number]:[Number]],0,0), IF(_xlpm.Fin-_xlpm.Init&gt;0, _xlfn.XLOOKUP(MIN(4,_xlpm.X+_xlpm.Fin-_xlpm.Init),Exp_Shift[[Number]:[Number]],Exp_Shift[[Rating]:[Rating]],0,0),IF(_xlpm.Fin-_xlpm.Init&lt;0,_xlfn.XLOOKUP(MAX(0,_xlpm.X-1),Exp_Shift[[Number]:[Number]],Exp_Shift[[Rating]:[Rating]],0,0),T71)))</f>
        <v>M</v>
      </c>
      <c r="U163" t="str" cm="1">
        <f t="array" ref="U163">_xlfn.LET(_xlpm.Fin,_xlfn.XLOOKUP(N163,Exp_Shift[[Rating]:[Rating]],Exp_Shift[[Number]:[Number]],0,0),_xlpm.Init,_xlfn.XLOOKUP(N71,Exp_Shift[[Rating]:[Rating]],Exp_Shift[[Number]:[Number]],0,0),_xlpm.X,_xlfn.XLOOKUP(U71,Exp_Shift[[Rating]:[Rating]],Exp_Shift[[Number]:[Number]],0,0), IF(_xlpm.Fin-_xlpm.Init&gt;0, _xlfn.XLOOKUP(MIN(4,_xlpm.X+_xlpm.Fin-_xlpm.Init),Exp_Shift[[Number]:[Number]],Exp_Shift[[Rating]:[Rating]],0,0),IF(_xlpm.Fin-_xlpm.Init&lt;0,_xlfn.XLOOKUP(MAX(0,_xlpm.X-1),Exp_Shift[[Number]:[Number]],Exp_Shift[[Rating]:[Rating]],0,0),U71)))</f>
        <v>E</v>
      </c>
      <c r="V163" t="str" cm="1">
        <f t="array" ref="V163">_xlfn.LET(_xlpm.Fin,_xlfn.XLOOKUP(O163,Exp_Shift[[Rating]:[Rating]],Exp_Shift[[Number]:[Number]],0,0),_xlpm.Init,_xlfn.XLOOKUP(O71,Exp_Shift[[Rating]:[Rating]],Exp_Shift[[Number]:[Number]],0,0),_xlpm.X,_xlfn.XLOOKUP(V71,Exp_Shift[[Rating]:[Rating]],Exp_Shift[[Number]:[Number]],0,0), IF(_xlpm.Fin-_xlpm.Init&gt;0, _xlfn.XLOOKUP(MIN(4,_xlpm.X+_xlpm.Fin-_xlpm.Init),Exp_Shift[[Number]:[Number]],Exp_Shift[[Rating]:[Rating]],0,0),IF(_xlpm.Fin-_xlpm.Init&lt;0,_xlfn.XLOOKUP(MAX(0,_xlpm.X-1),Exp_Shift[[Number]:[Number]],Exp_Shift[[Rating]:[Rating]],0,0),V71)))</f>
        <v>E</v>
      </c>
      <c r="W163" t="str" cm="1">
        <f t="array" ref="W163">_xlfn.LET(_xlpm.Fin,_xlfn.XLOOKUP(P163,Exp_Shift[[Rating]:[Rating]],Exp_Shift[[Number]:[Number]],0,0),_xlpm.Init,_xlfn.XLOOKUP(P71,Exp_Shift[[Rating]:[Rating]],Exp_Shift[[Number]:[Number]],0,0),_xlpm.X,_xlfn.XLOOKUP(W71,Exp_Shift[[Rating]:[Rating]],Exp_Shift[[Number]:[Number]],0,0), IF(_xlpm.Fin-_xlpm.Init&gt;0, _xlfn.XLOOKUP(MIN(4,_xlpm.X+_xlpm.Fin-_xlpm.Init),Exp_Shift[[Number]:[Number]],Exp_Shift[[Rating]:[Rating]],0,0),IF(_xlpm.Fin-_xlpm.Init&lt;0,_xlfn.XLOOKUP(MAX(0,_xlpm.X-1),Exp_Shift[[Number]:[Number]],Exp_Shift[[Rating]:[Rating]],0,0),W71)))</f>
        <v>E</v>
      </c>
      <c r="X163" s="19" t="str" cm="1">
        <f t="array" ref="X163">_xlfn.LET(_xlpm.Fin,_xlfn.XLOOKUP(Q163,Exp_Shift[[Rating]:[Rating]],Exp_Shift[[Number]:[Number]],0,0),_xlpm.Init,_xlfn.XLOOKUP(Q71,Exp_Shift[[Rating]:[Rating]],Exp_Shift[[Number]:[Number]],0,0),_xlpm.X,_xlfn.XLOOKUP(X71,Exp_Shift[[Rating]:[Rating]],Exp_Shift[[Number]:[Number]],0,0), IF(_xlpm.Fin-_xlpm.Init&gt;0, _xlfn.XLOOKUP(MIN(4,_xlpm.X+_xlpm.Fin-_xlpm.Init),Exp_Shift[[Number]:[Number]],Exp_Shift[[Rating]:[Rating]],0,0),IF(_xlpm.Fin-_xlpm.Init&lt;0,_xlfn.XLOOKUP(MAX(0,_xlpm.X-1),Exp_Shift[[Number]:[Number]],Exp_Shift[[Rating]:[Rating]],0,0),X71)))</f>
        <v>M</v>
      </c>
      <c r="Y163" s="23" t="str" cm="1">
        <f t="array" ref="Y163">_xlfn.LET(_xlpm.Fin,_xlfn.XLOOKUP(K163,Exp_Shift[[Rating]:[Rating]],Exp_Shift[[Number]:[Number]],0,0),_xlpm.Init,_xlfn.XLOOKUP(K71,Exp_Shift[[Rating]:[Rating]],Exp_Shift[[Number]:[Number]],0,0),_xlpm.X,_xlfn.XLOOKUP(Y71,Exp_Shift[[Rating]:[Rating]],Exp_Shift[[Number]:[Number]],0,0), IF(_xlpm.Fin-_xlpm.Init&gt;0, _xlfn.XLOOKUP(MIN(4,_xlpm.X+1),Exp_Shift[[Number]:[Number]],Exp_Shift[[Rating]:[Rating]],0,0),IF(_xlpm.Fin-_xlpm.Init&lt;0,_xlfn.XLOOKUP(MAX(0,_xlpm.X),Exp_Shift[[Number]:[Number]],Exp_Shift[[Rating]:[Rating]],0,0),Y71)))</f>
        <v>H</v>
      </c>
      <c r="Z163" t="str" cm="1">
        <f t="array" ref="Z163">_xlfn.LET(_xlpm.Fin,_xlfn.XLOOKUP(L163,Exp_Shift[[Rating]:[Rating]],Exp_Shift[[Number]:[Number]],0,0),_xlpm.Init,_xlfn.XLOOKUP(L71,Exp_Shift[[Rating]:[Rating]],Exp_Shift[[Number]:[Number]],0,0),_xlpm.X,_xlfn.XLOOKUP(Z71,Exp_Shift[[Rating]:[Rating]],Exp_Shift[[Number]:[Number]],0,0), IF(_xlpm.Fin-_xlpm.Init&gt;0, _xlfn.XLOOKUP(MIN(4,_xlpm.X+1),Exp_Shift[[Number]:[Number]],Exp_Shift[[Rating]:[Rating]],0,0),IF(_xlpm.Fin-_xlpm.Init&lt;0,_xlfn.XLOOKUP(MAX(0,_xlpm.X),Exp_Shift[[Number]:[Number]],Exp_Shift[[Rating]:[Rating]],0,0),Z71)))</f>
        <v>E</v>
      </c>
      <c r="AA163" t="str" cm="1">
        <f t="array" ref="AA163">_xlfn.LET(_xlpm.Fin,_xlfn.XLOOKUP(M163,Exp_Shift[[Rating]:[Rating]],Exp_Shift[[Number]:[Number]],0,0),_xlpm.Init,_xlfn.XLOOKUP(M71,Exp_Shift[[Rating]:[Rating]],Exp_Shift[[Number]:[Number]],0,0),_xlpm.X,_xlfn.XLOOKUP(AA71,Exp_Shift[[Rating]:[Rating]],Exp_Shift[[Number]:[Number]],0,0), IF(_xlpm.Fin-_xlpm.Init&gt;0, _xlfn.XLOOKUP(MIN(4,_xlpm.X+1),Exp_Shift[[Number]:[Number]],Exp_Shift[[Rating]:[Rating]],0,0),IF(_xlpm.Fin-_xlpm.Init&lt;0,_xlfn.XLOOKUP(MAX(0,_xlpm.X),Exp_Shift[[Number]:[Number]],Exp_Shift[[Rating]:[Rating]],0,0),AA71)))</f>
        <v>E</v>
      </c>
      <c r="AB163" t="str" cm="1">
        <f t="array" ref="AB163">_xlfn.LET(_xlpm.Fin,_xlfn.XLOOKUP(N163,Exp_Shift[[Rating]:[Rating]],Exp_Shift[[Number]:[Number]],0,0),_xlpm.Init,_xlfn.XLOOKUP(N71,Exp_Shift[[Rating]:[Rating]],Exp_Shift[[Number]:[Number]],0,0),_xlpm.X,_xlfn.XLOOKUP(AB71,Exp_Shift[[Rating]:[Rating]],Exp_Shift[[Number]:[Number]],0,0), IF(_xlpm.Fin-_xlpm.Init&gt;0, _xlfn.XLOOKUP(MIN(4,_xlpm.X+1),Exp_Shift[[Number]:[Number]],Exp_Shift[[Rating]:[Rating]],0,0),IF(_xlpm.Fin-_xlpm.Init&lt;0,_xlfn.XLOOKUP(MAX(0,_xlpm.X),Exp_Shift[[Number]:[Number]],Exp_Shift[[Rating]:[Rating]],0,0),AB71)))</f>
        <v>L</v>
      </c>
      <c r="AC163" t="str" cm="1">
        <f t="array" ref="AC163">_xlfn.LET(_xlpm.Fin,_xlfn.XLOOKUP(O163,Exp_Shift[[Rating]:[Rating]],Exp_Shift[[Number]:[Number]],0,0),_xlpm.Init,_xlfn.XLOOKUP(O71,Exp_Shift[[Rating]:[Rating]],Exp_Shift[[Number]:[Number]],0,0),_xlpm.X,_xlfn.XLOOKUP(AC71,Exp_Shift[[Rating]:[Rating]],Exp_Shift[[Number]:[Number]],0,0), IF(_xlpm.Fin-_xlpm.Init&gt;0, _xlfn.XLOOKUP(MIN(4,_xlpm.X+1),Exp_Shift[[Number]:[Number]],Exp_Shift[[Rating]:[Rating]],0,0),IF(_xlpm.Fin-_xlpm.Init&lt;0,_xlfn.XLOOKUP(MAX(0,_xlpm.X),Exp_Shift[[Number]:[Number]],Exp_Shift[[Rating]:[Rating]],0,0),AC71)))</f>
        <v>L</v>
      </c>
      <c r="AD163" t="str" cm="1">
        <f t="array" ref="AD163">_xlfn.LET(_xlpm.Fin,_xlfn.XLOOKUP(P163,Exp_Shift[[Rating]:[Rating]],Exp_Shift[[Number]:[Number]],0,0),_xlpm.Init,_xlfn.XLOOKUP(P71,Exp_Shift[[Rating]:[Rating]],Exp_Shift[[Number]:[Number]],0,0),_xlpm.X,_xlfn.XLOOKUP(AD71,Exp_Shift[[Rating]:[Rating]],Exp_Shift[[Number]:[Number]],0,0), IF(_xlpm.Fin-_xlpm.Init&gt;0, _xlfn.XLOOKUP(MIN(4,_xlpm.X+1),Exp_Shift[[Number]:[Number]],Exp_Shift[[Rating]:[Rating]],0,0),IF(_xlpm.Fin-_xlpm.Init&lt;0,_xlfn.XLOOKUP(MAX(0,_xlpm.X),Exp_Shift[[Number]:[Number]],Exp_Shift[[Rating]:[Rating]],0,0),AD71)))</f>
        <v>L</v>
      </c>
      <c r="AE163" s="27" t="str" cm="1">
        <f t="array" ref="AE163">_xlfn.LET(_xlpm.Fin,_xlfn.XLOOKUP(Q163,Exp_Shift[[Rating]:[Rating]],Exp_Shift[[Number]:[Number]],0,0),_xlpm.Init,_xlfn.XLOOKUP(Q71,Exp_Shift[[Rating]:[Rating]],Exp_Shift[[Number]:[Number]],0,0),_xlpm.X,_xlfn.XLOOKUP(AE71,Exp_Shift[[Rating]:[Rating]],Exp_Shift[[Number]:[Number]],0,0), IF(_xlpm.Fin-_xlpm.Init&gt;0, _xlfn.XLOOKUP(MIN(4,_xlpm.X+1),Exp_Shift[[Number]:[Number]],Exp_Shift[[Rating]:[Rating]],0,0),IF(_xlpm.Fin-_xlpm.Init&lt;0,_xlfn.XLOOKUP(MAX(0,_xlpm.X),Exp_Shift[[Number]:[Number]],Exp_Shift[[Rating]:[Rating]],0,0),AE71)))</f>
        <v>H</v>
      </c>
    </row>
    <row r="164" spans="8:31" ht="18" x14ac:dyDescent="0.35">
      <c r="H164" s="26">
        <v>107</v>
      </c>
      <c r="I164" s="331" t="s">
        <v>46</v>
      </c>
      <c r="J164" s="326" t="s">
        <v>227</v>
      </c>
      <c r="K164" s="21" t="str" cm="1">
        <f t="array" ref="K164">_xlfn.SWITCH(K141,"N/A","L","L","M","M","H","H","E","E","N/A")</f>
        <v>N/A</v>
      </c>
      <c r="L164" s="50" t="str" cm="1">
        <f t="array" ref="L164">_xlfn.SWITCH(L141,"N/A","L","L","M","M","H","H","E","E","N/A")</f>
        <v>M</v>
      </c>
      <c r="M164" s="50" t="str" cm="1">
        <f t="array" ref="M164">_xlfn.SWITCH(M141,"N/A","L","L","M","M","H","H","E","E","N/A")</f>
        <v>M</v>
      </c>
      <c r="N164" s="50" t="str" cm="1">
        <f t="array" ref="N164">_xlfn.SWITCH(N141,"N/A","L","L","M","M","H","H","E","E","N/A")</f>
        <v>L</v>
      </c>
      <c r="O164" s="50" t="str" cm="1">
        <f t="array" ref="O164">_xlfn.SWITCH(O141,"N/A","L","L","M","M","H","H","E","E","N/A")</f>
        <v>E</v>
      </c>
      <c r="P164" s="50" t="str" cm="1">
        <f t="array" ref="P164">_xlfn.SWITCH(P141,"N/A","L","L","M","M","H","H","E","E","N/A")</f>
        <v>E</v>
      </c>
      <c r="Q164" s="95" t="str" cm="1">
        <f t="array" ref="Q164">_xlfn.SWITCH(Q141,"N/A","L","L","M","M","H","H","E","E","N/A")</f>
        <v>L</v>
      </c>
      <c r="R164" s="21" t="str" cm="1">
        <f t="array" ref="R164">_xlfn.LET(_xlpm.Fin,_xlfn.XLOOKUP(K164,Exp_Shift[[Rating]:[Rating]],Exp_Shift[[Number]:[Number]],0,0),_xlpm.Init,_xlfn.XLOOKUP(K72,Exp_Shift[[Rating]:[Rating]],Exp_Shift[[Number]:[Number]],0,0),_xlpm.X,_xlfn.XLOOKUP(R72,Exp_Shift[[Rating]:[Rating]],Exp_Shift[[Number]:[Number]],0,0), IF(_xlpm.Fin-_xlpm.Init&gt;0, _xlfn.XLOOKUP(MIN(4,_xlpm.X+_xlpm.Fin-_xlpm.Init),Exp_Shift[[Number]:[Number]],Exp_Shift[[Rating]:[Rating]],0,0),IF(_xlpm.Fin-_xlpm.Init&lt;0,_xlfn.XLOOKUP(MAX(0,_xlpm.X-1),Exp_Shift[[Number]:[Number]],Exp_Shift[[Rating]:[Rating]],0,0),R72)))</f>
        <v>N/A</v>
      </c>
      <c r="S164" s="50" t="str" cm="1">
        <f t="array" ref="S164">_xlfn.LET(_xlpm.Fin,_xlfn.XLOOKUP(L164,Exp_Shift[[Rating]:[Rating]],Exp_Shift[[Number]:[Number]],0,0),_xlpm.Init,_xlfn.XLOOKUP(L72,Exp_Shift[[Rating]:[Rating]],Exp_Shift[[Number]:[Number]],0,0),_xlpm.X,_xlfn.XLOOKUP(S72,Exp_Shift[[Rating]:[Rating]],Exp_Shift[[Number]:[Number]],0,0), IF(_xlpm.Fin-_xlpm.Init&gt;0, _xlfn.XLOOKUP(MIN(4,_xlpm.X+_xlpm.Fin-_xlpm.Init),Exp_Shift[[Number]:[Number]],Exp_Shift[[Rating]:[Rating]],0,0),IF(_xlpm.Fin-_xlpm.Init&lt;0,_xlfn.XLOOKUP(MAX(0,_xlpm.X-1),Exp_Shift[[Number]:[Number]],Exp_Shift[[Rating]:[Rating]],0,0),S72)))</f>
        <v>M</v>
      </c>
      <c r="T164" s="50" t="str" cm="1">
        <f t="array" ref="T164">_xlfn.LET(_xlpm.Fin,_xlfn.XLOOKUP(M164,Exp_Shift[[Rating]:[Rating]],Exp_Shift[[Number]:[Number]],0,0),_xlpm.Init,_xlfn.XLOOKUP(M72,Exp_Shift[[Rating]:[Rating]],Exp_Shift[[Number]:[Number]],0,0),_xlpm.X,_xlfn.XLOOKUP(T72,Exp_Shift[[Rating]:[Rating]],Exp_Shift[[Number]:[Number]],0,0), IF(_xlpm.Fin-_xlpm.Init&gt;0, _xlfn.XLOOKUP(MIN(4,_xlpm.X+_xlpm.Fin-_xlpm.Init),Exp_Shift[[Number]:[Number]],Exp_Shift[[Rating]:[Rating]],0,0),IF(_xlpm.Fin-_xlpm.Init&lt;0,_xlfn.XLOOKUP(MAX(0,_xlpm.X-1),Exp_Shift[[Number]:[Number]],Exp_Shift[[Rating]:[Rating]],0,0),T72)))</f>
        <v>H</v>
      </c>
      <c r="U164" s="50" t="str" cm="1">
        <f t="array" ref="U164">_xlfn.LET(_xlpm.Fin,_xlfn.XLOOKUP(N164,Exp_Shift[[Rating]:[Rating]],Exp_Shift[[Number]:[Number]],0,0),_xlpm.Init,_xlfn.XLOOKUP(N72,Exp_Shift[[Rating]:[Rating]],Exp_Shift[[Number]:[Number]],0,0),_xlpm.X,_xlfn.XLOOKUP(U72,Exp_Shift[[Rating]:[Rating]],Exp_Shift[[Number]:[Number]],0,0), IF(_xlpm.Fin-_xlpm.Init&gt;0, _xlfn.XLOOKUP(MIN(4,_xlpm.X+_xlpm.Fin-_xlpm.Init),Exp_Shift[[Number]:[Number]],Exp_Shift[[Rating]:[Rating]],0,0),IF(_xlpm.Fin-_xlpm.Init&lt;0,_xlfn.XLOOKUP(MAX(0,_xlpm.X-1),Exp_Shift[[Number]:[Number]],Exp_Shift[[Rating]:[Rating]],0,0),U72)))</f>
        <v>M</v>
      </c>
      <c r="V164" s="50" t="str" cm="1">
        <f t="array" ref="V164">_xlfn.LET(_xlpm.Fin,_xlfn.XLOOKUP(O164,Exp_Shift[[Rating]:[Rating]],Exp_Shift[[Number]:[Number]],0,0),_xlpm.Init,_xlfn.XLOOKUP(O72,Exp_Shift[[Rating]:[Rating]],Exp_Shift[[Number]:[Number]],0,0),_xlpm.X,_xlfn.XLOOKUP(V72,Exp_Shift[[Rating]:[Rating]],Exp_Shift[[Number]:[Number]],0,0), IF(_xlpm.Fin-_xlpm.Init&gt;0, _xlfn.XLOOKUP(MIN(4,_xlpm.X+_xlpm.Fin-_xlpm.Init),Exp_Shift[[Number]:[Number]],Exp_Shift[[Rating]:[Rating]],0,0),IF(_xlpm.Fin-_xlpm.Init&lt;0,_xlfn.XLOOKUP(MAX(0,_xlpm.X-1),Exp_Shift[[Number]:[Number]],Exp_Shift[[Rating]:[Rating]],0,0),V72)))</f>
        <v>E</v>
      </c>
      <c r="W164" s="50" t="str" cm="1">
        <f t="array" ref="W164">_xlfn.LET(_xlpm.Fin,_xlfn.XLOOKUP(P164,Exp_Shift[[Rating]:[Rating]],Exp_Shift[[Number]:[Number]],0,0),_xlpm.Init,_xlfn.XLOOKUP(P72,Exp_Shift[[Rating]:[Rating]],Exp_Shift[[Number]:[Number]],0,0),_xlpm.X,_xlfn.XLOOKUP(W72,Exp_Shift[[Rating]:[Rating]],Exp_Shift[[Number]:[Number]],0,0), IF(_xlpm.Fin-_xlpm.Init&gt;0, _xlfn.XLOOKUP(MIN(4,_xlpm.X+_xlpm.Fin-_xlpm.Init),Exp_Shift[[Number]:[Number]],Exp_Shift[[Rating]:[Rating]],0,0),IF(_xlpm.Fin-_xlpm.Init&lt;0,_xlfn.XLOOKUP(MAX(0,_xlpm.X-1),Exp_Shift[[Number]:[Number]],Exp_Shift[[Rating]:[Rating]],0,0),W72)))</f>
        <v>E</v>
      </c>
      <c r="X164" s="95" t="str" cm="1">
        <f t="array" ref="X164">_xlfn.LET(_xlpm.Fin,_xlfn.XLOOKUP(Q164,Exp_Shift[[Rating]:[Rating]],Exp_Shift[[Number]:[Number]],0,0),_xlpm.Init,_xlfn.XLOOKUP(Q72,Exp_Shift[[Rating]:[Rating]],Exp_Shift[[Number]:[Number]],0,0),_xlpm.X,_xlfn.XLOOKUP(X72,Exp_Shift[[Rating]:[Rating]],Exp_Shift[[Number]:[Number]],0,0), IF(_xlpm.Fin-_xlpm.Init&gt;0, _xlfn.XLOOKUP(MIN(4,_xlpm.X+_xlpm.Fin-_xlpm.Init),Exp_Shift[[Number]:[Number]],Exp_Shift[[Rating]:[Rating]],0,0),IF(_xlpm.Fin-_xlpm.Init&lt;0,_xlfn.XLOOKUP(MAX(0,_xlpm.X-1),Exp_Shift[[Number]:[Number]],Exp_Shift[[Rating]:[Rating]],0,0),X72)))</f>
        <v>M</v>
      </c>
      <c r="Y164" s="21" t="str" cm="1">
        <f t="array" ref="Y164">_xlfn.LET(_xlpm.Fin,_xlfn.XLOOKUP(K164,Exp_Shift[[Rating]:[Rating]],Exp_Shift[[Number]:[Number]],0,0),_xlpm.Init,_xlfn.XLOOKUP(K72,Exp_Shift[[Rating]:[Rating]],Exp_Shift[[Number]:[Number]],0,0),_xlpm.X,_xlfn.XLOOKUP(Y72,Exp_Shift[[Rating]:[Rating]],Exp_Shift[[Number]:[Number]],0,0), IF(_xlpm.Fin-_xlpm.Init&gt;0, _xlfn.XLOOKUP(MIN(4,_xlpm.X+1),Exp_Shift[[Number]:[Number]],Exp_Shift[[Rating]:[Rating]],0,0),IF(_xlpm.Fin-_xlpm.Init&lt;0,_xlfn.XLOOKUP(MAX(0,_xlpm.X),Exp_Shift[[Number]:[Number]],Exp_Shift[[Rating]:[Rating]],0,0),Y72)))</f>
        <v>M</v>
      </c>
      <c r="Z164" s="50" t="str" cm="1">
        <f t="array" ref="Z164">_xlfn.LET(_xlpm.Fin,_xlfn.XLOOKUP(L164,Exp_Shift[[Rating]:[Rating]],Exp_Shift[[Number]:[Number]],0,0),_xlpm.Init,_xlfn.XLOOKUP(L72,Exp_Shift[[Rating]:[Rating]],Exp_Shift[[Number]:[Number]],0,0),_xlpm.X,_xlfn.XLOOKUP(Z72,Exp_Shift[[Rating]:[Rating]],Exp_Shift[[Number]:[Number]],0,0), IF(_xlpm.Fin-_xlpm.Init&gt;0, _xlfn.XLOOKUP(MIN(4,_xlpm.X+1),Exp_Shift[[Number]:[Number]],Exp_Shift[[Rating]:[Rating]],0,0),IF(_xlpm.Fin-_xlpm.Init&lt;0,_xlfn.XLOOKUP(MAX(0,_xlpm.X),Exp_Shift[[Number]:[Number]],Exp_Shift[[Rating]:[Rating]],0,0),Z72)))</f>
        <v>H</v>
      </c>
      <c r="AA164" s="50" t="str" cm="1">
        <f t="array" ref="AA164">_xlfn.LET(_xlpm.Fin,_xlfn.XLOOKUP(M164,Exp_Shift[[Rating]:[Rating]],Exp_Shift[[Number]:[Number]],0,0),_xlpm.Init,_xlfn.XLOOKUP(M72,Exp_Shift[[Rating]:[Rating]],Exp_Shift[[Number]:[Number]],0,0),_xlpm.X,_xlfn.XLOOKUP(AA72,Exp_Shift[[Rating]:[Rating]],Exp_Shift[[Number]:[Number]],0,0), IF(_xlpm.Fin-_xlpm.Init&gt;0, _xlfn.XLOOKUP(MIN(4,_xlpm.X+1),Exp_Shift[[Number]:[Number]],Exp_Shift[[Rating]:[Rating]],0,0),IF(_xlpm.Fin-_xlpm.Init&lt;0,_xlfn.XLOOKUP(MAX(0,_xlpm.X),Exp_Shift[[Number]:[Number]],Exp_Shift[[Rating]:[Rating]],0,0),AA72)))</f>
        <v>E</v>
      </c>
      <c r="AB164" s="50" t="str" cm="1">
        <f t="array" ref="AB164">_xlfn.LET(_xlpm.Fin,_xlfn.XLOOKUP(N164,Exp_Shift[[Rating]:[Rating]],Exp_Shift[[Number]:[Number]],0,0),_xlpm.Init,_xlfn.XLOOKUP(N72,Exp_Shift[[Rating]:[Rating]],Exp_Shift[[Number]:[Number]],0,0),_xlpm.X,_xlfn.XLOOKUP(AB72,Exp_Shift[[Rating]:[Rating]],Exp_Shift[[Number]:[Number]],0,0), IF(_xlpm.Fin-_xlpm.Init&gt;0, _xlfn.XLOOKUP(MIN(4,_xlpm.X+1),Exp_Shift[[Number]:[Number]],Exp_Shift[[Rating]:[Rating]],0,0),IF(_xlpm.Fin-_xlpm.Init&lt;0,_xlfn.XLOOKUP(MAX(0,_xlpm.X),Exp_Shift[[Number]:[Number]],Exp_Shift[[Rating]:[Rating]],0,0),AB72)))</f>
        <v>E</v>
      </c>
      <c r="AC164" s="50" t="str" cm="1">
        <f t="array" ref="AC164">_xlfn.LET(_xlpm.Fin,_xlfn.XLOOKUP(O164,Exp_Shift[[Rating]:[Rating]],Exp_Shift[[Number]:[Number]],0,0),_xlpm.Init,_xlfn.XLOOKUP(O72,Exp_Shift[[Rating]:[Rating]],Exp_Shift[[Number]:[Number]],0,0),_xlpm.X,_xlfn.XLOOKUP(AC72,Exp_Shift[[Rating]:[Rating]],Exp_Shift[[Number]:[Number]],0,0), IF(_xlpm.Fin-_xlpm.Init&gt;0, _xlfn.XLOOKUP(MIN(4,_xlpm.X+1),Exp_Shift[[Number]:[Number]],Exp_Shift[[Rating]:[Rating]],0,0),IF(_xlpm.Fin-_xlpm.Init&lt;0,_xlfn.XLOOKUP(MAX(0,_xlpm.X),Exp_Shift[[Number]:[Number]],Exp_Shift[[Rating]:[Rating]],0,0),AC72)))</f>
        <v>L</v>
      </c>
      <c r="AD164" s="50" t="str" cm="1">
        <f t="array" ref="AD164">_xlfn.LET(_xlpm.Fin,_xlfn.XLOOKUP(P164,Exp_Shift[[Rating]:[Rating]],Exp_Shift[[Number]:[Number]],0,0),_xlpm.Init,_xlfn.XLOOKUP(P72,Exp_Shift[[Rating]:[Rating]],Exp_Shift[[Number]:[Number]],0,0),_xlpm.X,_xlfn.XLOOKUP(AD72,Exp_Shift[[Rating]:[Rating]],Exp_Shift[[Number]:[Number]],0,0), IF(_xlpm.Fin-_xlpm.Init&gt;0, _xlfn.XLOOKUP(MIN(4,_xlpm.X+1),Exp_Shift[[Number]:[Number]],Exp_Shift[[Rating]:[Rating]],0,0),IF(_xlpm.Fin-_xlpm.Init&lt;0,_xlfn.XLOOKUP(MAX(0,_xlpm.X),Exp_Shift[[Number]:[Number]],Exp_Shift[[Rating]:[Rating]],0,0),AD72)))</f>
        <v>L</v>
      </c>
      <c r="AE164" s="342" t="str" cm="1">
        <f t="array" ref="AE164">_xlfn.LET(_xlpm.Fin,_xlfn.XLOOKUP(Q164,Exp_Shift[[Rating]:[Rating]],Exp_Shift[[Number]:[Number]],0,0),_xlpm.Init,_xlfn.XLOOKUP(Q72,Exp_Shift[[Rating]:[Rating]],Exp_Shift[[Number]:[Number]],0,0),_xlpm.X,_xlfn.XLOOKUP(AE72,Exp_Shift[[Rating]:[Rating]],Exp_Shift[[Number]:[Number]],0,0), IF(_xlpm.Fin-_xlpm.Init&gt;0, _xlfn.XLOOKUP(MIN(4,_xlpm.X+1),Exp_Shift[[Number]:[Number]],Exp_Shift[[Rating]:[Rating]],0,0),IF(_xlpm.Fin-_xlpm.Init&lt;0,_xlfn.XLOOKUP(MAX(0,_xlpm.X),Exp_Shift[[Number]:[Number]],Exp_Shift[[Rating]:[Rating]],0,0),AE72)))</f>
        <v>E</v>
      </c>
    </row>
    <row r="165" spans="8:31" ht="18" x14ac:dyDescent="0.35">
      <c r="H165" s="26">
        <v>108</v>
      </c>
      <c r="I165" s="332" t="s">
        <v>46</v>
      </c>
      <c r="J165" s="328" t="s">
        <v>226</v>
      </c>
      <c r="K165" s="23" t="str" cm="1">
        <f t="array" ref="K165">_xlfn.SWITCH(K142,"N/A","L","L","M","M","H","H","E","E","N/A")</f>
        <v>N/A</v>
      </c>
      <c r="L165" t="str" cm="1">
        <f t="array" ref="L165">_xlfn.SWITCH(L142,"N/A","L","L","M","M","H","H","E","E","N/A")</f>
        <v>M</v>
      </c>
      <c r="M165" t="str" cm="1">
        <f t="array" ref="M165">_xlfn.SWITCH(M142,"N/A","L","L","M","M","H","H","E","E","N/A")</f>
        <v>M</v>
      </c>
      <c r="N165" t="str" cm="1">
        <f t="array" ref="N165">_xlfn.SWITCH(N142,"N/A","L","L","M","M","H","H","E","E","N/A")</f>
        <v>N/A</v>
      </c>
      <c r="O165" t="str" cm="1">
        <f t="array" ref="O165">_xlfn.SWITCH(O142,"N/A","L","L","M","M","H","H","E","E","N/A")</f>
        <v>L</v>
      </c>
      <c r="P165" t="str" cm="1">
        <f t="array" ref="P165">_xlfn.SWITCH(P142,"N/A","L","L","M","M","H","H","E","E","N/A")</f>
        <v>L</v>
      </c>
      <c r="Q165" s="19" t="str" cm="1">
        <f t="array" ref="Q165">_xlfn.SWITCH(Q142,"N/A","L","L","M","M","H","H","E","E","N/A")</f>
        <v>L</v>
      </c>
      <c r="R165" s="23" t="str" cm="1">
        <f t="array" ref="R165">_xlfn.LET(_xlpm.Fin,_xlfn.XLOOKUP(K165,Exp_Shift[[Rating]:[Rating]],Exp_Shift[[Number]:[Number]],0,0),_xlpm.Init,_xlfn.XLOOKUP(K73,Exp_Shift[[Rating]:[Rating]],Exp_Shift[[Number]:[Number]],0,0),_xlpm.X,_xlfn.XLOOKUP(R73,Exp_Shift[[Rating]:[Rating]],Exp_Shift[[Number]:[Number]],0,0), IF(_xlpm.Fin-_xlpm.Init&gt;0, _xlfn.XLOOKUP(MIN(4,_xlpm.X+_xlpm.Fin-_xlpm.Init),Exp_Shift[[Number]:[Number]],Exp_Shift[[Rating]:[Rating]],0,0),IF(_xlpm.Fin-_xlpm.Init&lt;0,_xlfn.XLOOKUP(MAX(0,_xlpm.X-1),Exp_Shift[[Number]:[Number]],Exp_Shift[[Rating]:[Rating]],0,0),R73)))</f>
        <v>N/A</v>
      </c>
      <c r="S165" t="str" cm="1">
        <f t="array" ref="S165">_xlfn.LET(_xlpm.Fin,_xlfn.XLOOKUP(L165,Exp_Shift[[Rating]:[Rating]],Exp_Shift[[Number]:[Number]],0,0),_xlpm.Init,_xlfn.XLOOKUP(L73,Exp_Shift[[Rating]:[Rating]],Exp_Shift[[Number]:[Number]],0,0),_xlpm.X,_xlfn.XLOOKUP(S73,Exp_Shift[[Rating]:[Rating]],Exp_Shift[[Number]:[Number]],0,0), IF(_xlpm.Fin-_xlpm.Init&gt;0, _xlfn.XLOOKUP(MIN(4,_xlpm.X+_xlpm.Fin-_xlpm.Init),Exp_Shift[[Number]:[Number]],Exp_Shift[[Rating]:[Rating]],0,0),IF(_xlpm.Fin-_xlpm.Init&lt;0,_xlfn.XLOOKUP(MAX(0,_xlpm.X-1),Exp_Shift[[Number]:[Number]],Exp_Shift[[Rating]:[Rating]],0,0),S73)))</f>
        <v>M</v>
      </c>
      <c r="T165" t="str" cm="1">
        <f t="array" ref="T165">_xlfn.LET(_xlpm.Fin,_xlfn.XLOOKUP(M165,Exp_Shift[[Rating]:[Rating]],Exp_Shift[[Number]:[Number]],0,0),_xlpm.Init,_xlfn.XLOOKUP(M73,Exp_Shift[[Rating]:[Rating]],Exp_Shift[[Number]:[Number]],0,0),_xlpm.X,_xlfn.XLOOKUP(T73,Exp_Shift[[Rating]:[Rating]],Exp_Shift[[Number]:[Number]],0,0), IF(_xlpm.Fin-_xlpm.Init&gt;0, _xlfn.XLOOKUP(MIN(4,_xlpm.X+_xlpm.Fin-_xlpm.Init),Exp_Shift[[Number]:[Number]],Exp_Shift[[Rating]:[Rating]],0,0),IF(_xlpm.Fin-_xlpm.Init&lt;0,_xlfn.XLOOKUP(MAX(0,_xlpm.X-1),Exp_Shift[[Number]:[Number]],Exp_Shift[[Rating]:[Rating]],0,0),T73)))</f>
        <v>H</v>
      </c>
      <c r="U165" t="str" cm="1">
        <f t="array" ref="U165">_xlfn.LET(_xlpm.Fin,_xlfn.XLOOKUP(N165,Exp_Shift[[Rating]:[Rating]],Exp_Shift[[Number]:[Number]],0,0),_xlpm.Init,_xlfn.XLOOKUP(N73,Exp_Shift[[Rating]:[Rating]],Exp_Shift[[Number]:[Number]],0,0),_xlpm.X,_xlfn.XLOOKUP(U73,Exp_Shift[[Rating]:[Rating]],Exp_Shift[[Number]:[Number]],0,0), IF(_xlpm.Fin-_xlpm.Init&gt;0, _xlfn.XLOOKUP(MIN(4,_xlpm.X+_xlpm.Fin-_xlpm.Init),Exp_Shift[[Number]:[Number]],Exp_Shift[[Rating]:[Rating]],0,0),IF(_xlpm.Fin-_xlpm.Init&lt;0,_xlfn.XLOOKUP(MAX(0,_xlpm.X-1),Exp_Shift[[Number]:[Number]],Exp_Shift[[Rating]:[Rating]],0,0),U73)))</f>
        <v>N/A</v>
      </c>
      <c r="V165" t="str" cm="1">
        <f t="array" ref="V165">_xlfn.LET(_xlpm.Fin,_xlfn.XLOOKUP(O165,Exp_Shift[[Rating]:[Rating]],Exp_Shift[[Number]:[Number]],0,0),_xlpm.Init,_xlfn.XLOOKUP(O73,Exp_Shift[[Rating]:[Rating]],Exp_Shift[[Number]:[Number]],0,0),_xlpm.X,_xlfn.XLOOKUP(V73,Exp_Shift[[Rating]:[Rating]],Exp_Shift[[Number]:[Number]],0,0), IF(_xlpm.Fin-_xlpm.Init&gt;0, _xlfn.XLOOKUP(MIN(4,_xlpm.X+_xlpm.Fin-_xlpm.Init),Exp_Shift[[Number]:[Number]],Exp_Shift[[Rating]:[Rating]],0,0),IF(_xlpm.Fin-_xlpm.Init&lt;0,_xlfn.XLOOKUP(MAX(0,_xlpm.X-1),Exp_Shift[[Number]:[Number]],Exp_Shift[[Rating]:[Rating]],0,0),V73)))</f>
        <v>M</v>
      </c>
      <c r="W165" t="str" cm="1">
        <f t="array" ref="W165">_xlfn.LET(_xlpm.Fin,_xlfn.XLOOKUP(P165,Exp_Shift[[Rating]:[Rating]],Exp_Shift[[Number]:[Number]],0,0),_xlpm.Init,_xlfn.XLOOKUP(P73,Exp_Shift[[Rating]:[Rating]],Exp_Shift[[Number]:[Number]],0,0),_xlpm.X,_xlfn.XLOOKUP(W73,Exp_Shift[[Rating]:[Rating]],Exp_Shift[[Number]:[Number]],0,0), IF(_xlpm.Fin-_xlpm.Init&gt;0, _xlfn.XLOOKUP(MIN(4,_xlpm.X+_xlpm.Fin-_xlpm.Init),Exp_Shift[[Number]:[Number]],Exp_Shift[[Rating]:[Rating]],0,0),IF(_xlpm.Fin-_xlpm.Init&lt;0,_xlfn.XLOOKUP(MAX(0,_xlpm.X-1),Exp_Shift[[Number]:[Number]],Exp_Shift[[Rating]:[Rating]],0,0),W73)))</f>
        <v>M</v>
      </c>
      <c r="X165" s="19" t="str" cm="1">
        <f t="array" ref="X165">_xlfn.LET(_xlpm.Fin,_xlfn.XLOOKUP(Q165,Exp_Shift[[Rating]:[Rating]],Exp_Shift[[Number]:[Number]],0,0),_xlpm.Init,_xlfn.XLOOKUP(Q73,Exp_Shift[[Rating]:[Rating]],Exp_Shift[[Number]:[Number]],0,0),_xlpm.X,_xlfn.XLOOKUP(X73,Exp_Shift[[Rating]:[Rating]],Exp_Shift[[Number]:[Number]],0,0), IF(_xlpm.Fin-_xlpm.Init&gt;0, _xlfn.XLOOKUP(MIN(4,_xlpm.X+_xlpm.Fin-_xlpm.Init),Exp_Shift[[Number]:[Number]],Exp_Shift[[Rating]:[Rating]],0,0),IF(_xlpm.Fin-_xlpm.Init&lt;0,_xlfn.XLOOKUP(MAX(0,_xlpm.X-1),Exp_Shift[[Number]:[Number]],Exp_Shift[[Rating]:[Rating]],0,0),X73)))</f>
        <v>M</v>
      </c>
      <c r="Y165" s="23" t="str" cm="1">
        <f t="array" ref="Y165">_xlfn.LET(_xlpm.Fin,_xlfn.XLOOKUP(K165,Exp_Shift[[Rating]:[Rating]],Exp_Shift[[Number]:[Number]],0,0),_xlpm.Init,_xlfn.XLOOKUP(K73,Exp_Shift[[Rating]:[Rating]],Exp_Shift[[Number]:[Number]],0,0),_xlpm.X,_xlfn.XLOOKUP(Y73,Exp_Shift[[Rating]:[Rating]],Exp_Shift[[Number]:[Number]],0,0), IF(_xlpm.Fin-_xlpm.Init&gt;0, _xlfn.XLOOKUP(MIN(4,_xlpm.X+1),Exp_Shift[[Number]:[Number]],Exp_Shift[[Rating]:[Rating]],0,0),IF(_xlpm.Fin-_xlpm.Init&lt;0,_xlfn.XLOOKUP(MAX(0,_xlpm.X),Exp_Shift[[Number]:[Number]],Exp_Shift[[Rating]:[Rating]],0,0),Y73)))</f>
        <v>M</v>
      </c>
      <c r="Z165" t="str" cm="1">
        <f t="array" ref="Z165">_xlfn.LET(_xlpm.Fin,_xlfn.XLOOKUP(L165,Exp_Shift[[Rating]:[Rating]],Exp_Shift[[Number]:[Number]],0,0),_xlpm.Init,_xlfn.XLOOKUP(L73,Exp_Shift[[Rating]:[Rating]],Exp_Shift[[Number]:[Number]],0,0),_xlpm.X,_xlfn.XLOOKUP(Z73,Exp_Shift[[Rating]:[Rating]],Exp_Shift[[Number]:[Number]],0,0), IF(_xlpm.Fin-_xlpm.Init&gt;0, _xlfn.XLOOKUP(MIN(4,_xlpm.X+1),Exp_Shift[[Number]:[Number]],Exp_Shift[[Rating]:[Rating]],0,0),IF(_xlpm.Fin-_xlpm.Init&lt;0,_xlfn.XLOOKUP(MAX(0,_xlpm.X),Exp_Shift[[Number]:[Number]],Exp_Shift[[Rating]:[Rating]],0,0),Z73)))</f>
        <v>H</v>
      </c>
      <c r="AA165" t="str" cm="1">
        <f t="array" ref="AA165">_xlfn.LET(_xlpm.Fin,_xlfn.XLOOKUP(M165,Exp_Shift[[Rating]:[Rating]],Exp_Shift[[Number]:[Number]],0,0),_xlpm.Init,_xlfn.XLOOKUP(M73,Exp_Shift[[Rating]:[Rating]],Exp_Shift[[Number]:[Number]],0,0),_xlpm.X,_xlfn.XLOOKUP(AA73,Exp_Shift[[Rating]:[Rating]],Exp_Shift[[Number]:[Number]],0,0), IF(_xlpm.Fin-_xlpm.Init&gt;0, _xlfn.XLOOKUP(MIN(4,_xlpm.X+1),Exp_Shift[[Number]:[Number]],Exp_Shift[[Rating]:[Rating]],0,0),IF(_xlpm.Fin-_xlpm.Init&lt;0,_xlfn.XLOOKUP(MAX(0,_xlpm.X),Exp_Shift[[Number]:[Number]],Exp_Shift[[Rating]:[Rating]],0,0),AA73)))</f>
        <v>E</v>
      </c>
      <c r="AB165" t="str" cm="1">
        <f t="array" ref="AB165">_xlfn.LET(_xlpm.Fin,_xlfn.XLOOKUP(N165,Exp_Shift[[Rating]:[Rating]],Exp_Shift[[Number]:[Number]],0,0),_xlpm.Init,_xlfn.XLOOKUP(N73,Exp_Shift[[Rating]:[Rating]],Exp_Shift[[Number]:[Number]],0,0),_xlpm.X,_xlfn.XLOOKUP(AB73,Exp_Shift[[Rating]:[Rating]],Exp_Shift[[Number]:[Number]],0,0), IF(_xlpm.Fin-_xlpm.Init&gt;0, _xlfn.XLOOKUP(MIN(4,_xlpm.X+1),Exp_Shift[[Number]:[Number]],Exp_Shift[[Rating]:[Rating]],0,0),IF(_xlpm.Fin-_xlpm.Init&lt;0,_xlfn.XLOOKUP(MAX(0,_xlpm.X),Exp_Shift[[Number]:[Number]],Exp_Shift[[Rating]:[Rating]],0,0),AB73)))</f>
        <v>L</v>
      </c>
      <c r="AC165" t="str" cm="1">
        <f t="array" ref="AC165">_xlfn.LET(_xlpm.Fin,_xlfn.XLOOKUP(O165,Exp_Shift[[Rating]:[Rating]],Exp_Shift[[Number]:[Number]],0,0),_xlpm.Init,_xlfn.XLOOKUP(O73,Exp_Shift[[Rating]:[Rating]],Exp_Shift[[Number]:[Number]],0,0),_xlpm.X,_xlfn.XLOOKUP(AC73,Exp_Shift[[Rating]:[Rating]],Exp_Shift[[Number]:[Number]],0,0), IF(_xlpm.Fin-_xlpm.Init&gt;0, _xlfn.XLOOKUP(MIN(4,_xlpm.X+1),Exp_Shift[[Number]:[Number]],Exp_Shift[[Rating]:[Rating]],0,0),IF(_xlpm.Fin-_xlpm.Init&lt;0,_xlfn.XLOOKUP(MAX(0,_xlpm.X),Exp_Shift[[Number]:[Number]],Exp_Shift[[Rating]:[Rating]],0,0),AC73)))</f>
        <v>E</v>
      </c>
      <c r="AD165" t="str" cm="1">
        <f t="array" ref="AD165">_xlfn.LET(_xlpm.Fin,_xlfn.XLOOKUP(P165,Exp_Shift[[Rating]:[Rating]],Exp_Shift[[Number]:[Number]],0,0),_xlpm.Init,_xlfn.XLOOKUP(P73,Exp_Shift[[Rating]:[Rating]],Exp_Shift[[Number]:[Number]],0,0),_xlpm.X,_xlfn.XLOOKUP(AD73,Exp_Shift[[Rating]:[Rating]],Exp_Shift[[Number]:[Number]],0,0), IF(_xlpm.Fin-_xlpm.Init&gt;0, _xlfn.XLOOKUP(MIN(4,_xlpm.X+1),Exp_Shift[[Number]:[Number]],Exp_Shift[[Rating]:[Rating]],0,0),IF(_xlpm.Fin-_xlpm.Init&lt;0,_xlfn.XLOOKUP(MAX(0,_xlpm.X),Exp_Shift[[Number]:[Number]],Exp_Shift[[Rating]:[Rating]],0,0),AD73)))</f>
        <v>E</v>
      </c>
      <c r="AE165" s="27" t="str" cm="1">
        <f t="array" ref="AE165">_xlfn.LET(_xlpm.Fin,_xlfn.XLOOKUP(Q165,Exp_Shift[[Rating]:[Rating]],Exp_Shift[[Number]:[Number]],0,0),_xlpm.Init,_xlfn.XLOOKUP(Q73,Exp_Shift[[Rating]:[Rating]],Exp_Shift[[Number]:[Number]],0,0),_xlpm.X,_xlfn.XLOOKUP(AE73,Exp_Shift[[Rating]:[Rating]],Exp_Shift[[Number]:[Number]],0,0), IF(_xlpm.Fin-_xlpm.Init&gt;0, _xlfn.XLOOKUP(MIN(4,_xlpm.X+1),Exp_Shift[[Number]:[Number]],Exp_Shift[[Rating]:[Rating]],0,0),IF(_xlpm.Fin-_xlpm.Init&lt;0,_xlfn.XLOOKUP(MAX(0,_xlpm.X),Exp_Shift[[Number]:[Number]],Exp_Shift[[Rating]:[Rating]],0,0),AE73)))</f>
        <v>E</v>
      </c>
    </row>
    <row r="166" spans="8:31" ht="18" x14ac:dyDescent="0.35">
      <c r="H166" s="26">
        <v>109</v>
      </c>
      <c r="I166" s="332" t="s">
        <v>46</v>
      </c>
      <c r="J166" s="328" t="s">
        <v>225</v>
      </c>
      <c r="K166" s="23" t="str" cm="1">
        <f t="array" ref="K166">_xlfn.SWITCH(K143,"N/A","L","L","M","M","H","H","E","E","N/A")</f>
        <v>N/A</v>
      </c>
      <c r="L166" t="str" cm="1">
        <f t="array" ref="L166">_xlfn.SWITCH(L143,"N/A","L","L","M","M","H","H","E","E","N/A")</f>
        <v>M</v>
      </c>
      <c r="M166" t="str" cm="1">
        <f t="array" ref="M166">_xlfn.SWITCH(M143,"N/A","L","L","M","M","H","H","E","E","N/A")</f>
        <v>M</v>
      </c>
      <c r="N166" t="str" cm="1">
        <f t="array" ref="N166">_xlfn.SWITCH(N143,"N/A","L","L","M","M","H","H","E","E","N/A")</f>
        <v>L</v>
      </c>
      <c r="O166" t="str" cm="1">
        <f t="array" ref="O166">_xlfn.SWITCH(O143,"N/A","L","L","M","M","H","H","E","E","N/A")</f>
        <v>E</v>
      </c>
      <c r="P166" t="str" cm="1">
        <f t="array" ref="P166">_xlfn.SWITCH(P143,"N/A","L","L","M","M","H","H","E","E","N/A")</f>
        <v>E</v>
      </c>
      <c r="Q166" s="19" t="str" cm="1">
        <f t="array" ref="Q166">_xlfn.SWITCH(Q143,"N/A","L","L","M","M","H","H","E","E","N/A")</f>
        <v>L</v>
      </c>
      <c r="R166" s="23" t="str" cm="1">
        <f t="array" ref="R166">_xlfn.LET(_xlpm.Fin,_xlfn.XLOOKUP(K166,Exp_Shift[[Rating]:[Rating]],Exp_Shift[[Number]:[Number]],0,0),_xlpm.Init,_xlfn.XLOOKUP(K74,Exp_Shift[[Rating]:[Rating]],Exp_Shift[[Number]:[Number]],0,0),_xlpm.X,_xlfn.XLOOKUP(R74,Exp_Shift[[Rating]:[Rating]],Exp_Shift[[Number]:[Number]],0,0), IF(_xlpm.Fin-_xlpm.Init&gt;0, _xlfn.XLOOKUP(MIN(4,_xlpm.X+_xlpm.Fin-_xlpm.Init),Exp_Shift[[Number]:[Number]],Exp_Shift[[Rating]:[Rating]],0,0),IF(_xlpm.Fin-_xlpm.Init&lt;0,_xlfn.XLOOKUP(MAX(0,_xlpm.X-1),Exp_Shift[[Number]:[Number]],Exp_Shift[[Rating]:[Rating]],0,0),R74)))</f>
        <v>N/A</v>
      </c>
      <c r="S166" t="str" cm="1">
        <f t="array" ref="S166">_xlfn.LET(_xlpm.Fin,_xlfn.XLOOKUP(L166,Exp_Shift[[Rating]:[Rating]],Exp_Shift[[Number]:[Number]],0,0),_xlpm.Init,_xlfn.XLOOKUP(L74,Exp_Shift[[Rating]:[Rating]],Exp_Shift[[Number]:[Number]],0,0),_xlpm.X,_xlfn.XLOOKUP(S74,Exp_Shift[[Rating]:[Rating]],Exp_Shift[[Number]:[Number]],0,0), IF(_xlpm.Fin-_xlpm.Init&gt;0, _xlfn.XLOOKUP(MIN(4,_xlpm.X+_xlpm.Fin-_xlpm.Init),Exp_Shift[[Number]:[Number]],Exp_Shift[[Rating]:[Rating]],0,0),IF(_xlpm.Fin-_xlpm.Init&lt;0,_xlfn.XLOOKUP(MAX(0,_xlpm.X-1),Exp_Shift[[Number]:[Number]],Exp_Shift[[Rating]:[Rating]],0,0),S74)))</f>
        <v>M</v>
      </c>
      <c r="T166" t="str" cm="1">
        <f t="array" ref="T166">_xlfn.LET(_xlpm.Fin,_xlfn.XLOOKUP(M166,Exp_Shift[[Rating]:[Rating]],Exp_Shift[[Number]:[Number]],0,0),_xlpm.Init,_xlfn.XLOOKUP(M74,Exp_Shift[[Rating]:[Rating]],Exp_Shift[[Number]:[Number]],0,0),_xlpm.X,_xlfn.XLOOKUP(T74,Exp_Shift[[Rating]:[Rating]],Exp_Shift[[Number]:[Number]],0,0), IF(_xlpm.Fin-_xlpm.Init&gt;0, _xlfn.XLOOKUP(MIN(4,_xlpm.X+_xlpm.Fin-_xlpm.Init),Exp_Shift[[Number]:[Number]],Exp_Shift[[Rating]:[Rating]],0,0),IF(_xlpm.Fin-_xlpm.Init&lt;0,_xlfn.XLOOKUP(MAX(0,_xlpm.X-1),Exp_Shift[[Number]:[Number]],Exp_Shift[[Rating]:[Rating]],0,0),T74)))</f>
        <v>H</v>
      </c>
      <c r="U166" t="str" cm="1">
        <f t="array" ref="U166">_xlfn.LET(_xlpm.Fin,_xlfn.XLOOKUP(N166,Exp_Shift[[Rating]:[Rating]],Exp_Shift[[Number]:[Number]],0,0),_xlpm.Init,_xlfn.XLOOKUP(N74,Exp_Shift[[Rating]:[Rating]],Exp_Shift[[Number]:[Number]],0,0),_xlpm.X,_xlfn.XLOOKUP(U74,Exp_Shift[[Rating]:[Rating]],Exp_Shift[[Number]:[Number]],0,0), IF(_xlpm.Fin-_xlpm.Init&gt;0, _xlfn.XLOOKUP(MIN(4,_xlpm.X+_xlpm.Fin-_xlpm.Init),Exp_Shift[[Number]:[Number]],Exp_Shift[[Rating]:[Rating]],0,0),IF(_xlpm.Fin-_xlpm.Init&lt;0,_xlfn.XLOOKUP(MAX(0,_xlpm.X-1),Exp_Shift[[Number]:[Number]],Exp_Shift[[Rating]:[Rating]],0,0),U74)))</f>
        <v>M</v>
      </c>
      <c r="V166" t="str" cm="1">
        <f t="array" ref="V166">_xlfn.LET(_xlpm.Fin,_xlfn.XLOOKUP(O166,Exp_Shift[[Rating]:[Rating]],Exp_Shift[[Number]:[Number]],0,0),_xlpm.Init,_xlfn.XLOOKUP(O74,Exp_Shift[[Rating]:[Rating]],Exp_Shift[[Number]:[Number]],0,0),_xlpm.X,_xlfn.XLOOKUP(V74,Exp_Shift[[Rating]:[Rating]],Exp_Shift[[Number]:[Number]],0,0), IF(_xlpm.Fin-_xlpm.Init&gt;0, _xlfn.XLOOKUP(MIN(4,_xlpm.X+_xlpm.Fin-_xlpm.Init),Exp_Shift[[Number]:[Number]],Exp_Shift[[Rating]:[Rating]],0,0),IF(_xlpm.Fin-_xlpm.Init&lt;0,_xlfn.XLOOKUP(MAX(0,_xlpm.X-1),Exp_Shift[[Number]:[Number]],Exp_Shift[[Rating]:[Rating]],0,0),V74)))</f>
        <v>E</v>
      </c>
      <c r="W166" t="str" cm="1">
        <f t="array" ref="W166">_xlfn.LET(_xlpm.Fin,_xlfn.XLOOKUP(P166,Exp_Shift[[Rating]:[Rating]],Exp_Shift[[Number]:[Number]],0,0),_xlpm.Init,_xlfn.XLOOKUP(P74,Exp_Shift[[Rating]:[Rating]],Exp_Shift[[Number]:[Number]],0,0),_xlpm.X,_xlfn.XLOOKUP(W74,Exp_Shift[[Rating]:[Rating]],Exp_Shift[[Number]:[Number]],0,0), IF(_xlpm.Fin-_xlpm.Init&gt;0, _xlfn.XLOOKUP(MIN(4,_xlpm.X+_xlpm.Fin-_xlpm.Init),Exp_Shift[[Number]:[Number]],Exp_Shift[[Rating]:[Rating]],0,0),IF(_xlpm.Fin-_xlpm.Init&lt;0,_xlfn.XLOOKUP(MAX(0,_xlpm.X-1),Exp_Shift[[Number]:[Number]],Exp_Shift[[Rating]:[Rating]],0,0),W74)))</f>
        <v>E</v>
      </c>
      <c r="X166" s="19" t="str" cm="1">
        <f t="array" ref="X166">_xlfn.LET(_xlpm.Fin,_xlfn.XLOOKUP(Q166,Exp_Shift[[Rating]:[Rating]],Exp_Shift[[Number]:[Number]],0,0),_xlpm.Init,_xlfn.XLOOKUP(Q74,Exp_Shift[[Rating]:[Rating]],Exp_Shift[[Number]:[Number]],0,0),_xlpm.X,_xlfn.XLOOKUP(X74,Exp_Shift[[Rating]:[Rating]],Exp_Shift[[Number]:[Number]],0,0), IF(_xlpm.Fin-_xlpm.Init&gt;0, _xlfn.XLOOKUP(MIN(4,_xlpm.X+_xlpm.Fin-_xlpm.Init),Exp_Shift[[Number]:[Number]],Exp_Shift[[Rating]:[Rating]],0,0),IF(_xlpm.Fin-_xlpm.Init&lt;0,_xlfn.XLOOKUP(MAX(0,_xlpm.X-1),Exp_Shift[[Number]:[Number]],Exp_Shift[[Rating]:[Rating]],0,0),X74)))</f>
        <v>M</v>
      </c>
      <c r="Y166" s="23" t="str" cm="1">
        <f t="array" ref="Y166">_xlfn.LET(_xlpm.Fin,_xlfn.XLOOKUP(K166,Exp_Shift[[Rating]:[Rating]],Exp_Shift[[Number]:[Number]],0,0),_xlpm.Init,_xlfn.XLOOKUP(K74,Exp_Shift[[Rating]:[Rating]],Exp_Shift[[Number]:[Number]],0,0),_xlpm.X,_xlfn.XLOOKUP(Y74,Exp_Shift[[Rating]:[Rating]],Exp_Shift[[Number]:[Number]],0,0), IF(_xlpm.Fin-_xlpm.Init&gt;0, _xlfn.XLOOKUP(MIN(4,_xlpm.X+1),Exp_Shift[[Number]:[Number]],Exp_Shift[[Rating]:[Rating]],0,0),IF(_xlpm.Fin-_xlpm.Init&lt;0,_xlfn.XLOOKUP(MAX(0,_xlpm.X),Exp_Shift[[Number]:[Number]],Exp_Shift[[Rating]:[Rating]],0,0),Y74)))</f>
        <v>H</v>
      </c>
      <c r="Z166" t="str" cm="1">
        <f t="array" ref="Z166">_xlfn.LET(_xlpm.Fin,_xlfn.XLOOKUP(L166,Exp_Shift[[Rating]:[Rating]],Exp_Shift[[Number]:[Number]],0,0),_xlpm.Init,_xlfn.XLOOKUP(L74,Exp_Shift[[Rating]:[Rating]],Exp_Shift[[Number]:[Number]],0,0),_xlpm.X,_xlfn.XLOOKUP(Z74,Exp_Shift[[Rating]:[Rating]],Exp_Shift[[Number]:[Number]],0,0), IF(_xlpm.Fin-_xlpm.Init&gt;0, _xlfn.XLOOKUP(MIN(4,_xlpm.X+1),Exp_Shift[[Number]:[Number]],Exp_Shift[[Rating]:[Rating]],0,0),IF(_xlpm.Fin-_xlpm.Init&lt;0,_xlfn.XLOOKUP(MAX(0,_xlpm.X),Exp_Shift[[Number]:[Number]],Exp_Shift[[Rating]:[Rating]],0,0),Z74)))</f>
        <v>H</v>
      </c>
      <c r="AA166" t="str" cm="1">
        <f t="array" ref="AA166">_xlfn.LET(_xlpm.Fin,_xlfn.XLOOKUP(M166,Exp_Shift[[Rating]:[Rating]],Exp_Shift[[Number]:[Number]],0,0),_xlpm.Init,_xlfn.XLOOKUP(M74,Exp_Shift[[Rating]:[Rating]],Exp_Shift[[Number]:[Number]],0,0),_xlpm.X,_xlfn.XLOOKUP(AA74,Exp_Shift[[Rating]:[Rating]],Exp_Shift[[Number]:[Number]],0,0), IF(_xlpm.Fin-_xlpm.Init&gt;0, _xlfn.XLOOKUP(MIN(4,_xlpm.X+1),Exp_Shift[[Number]:[Number]],Exp_Shift[[Rating]:[Rating]],0,0),IF(_xlpm.Fin-_xlpm.Init&lt;0,_xlfn.XLOOKUP(MAX(0,_xlpm.X),Exp_Shift[[Number]:[Number]],Exp_Shift[[Rating]:[Rating]],0,0),AA74)))</f>
        <v>E</v>
      </c>
      <c r="AB166" t="str" cm="1">
        <f t="array" ref="AB166">_xlfn.LET(_xlpm.Fin,_xlfn.XLOOKUP(N166,Exp_Shift[[Rating]:[Rating]],Exp_Shift[[Number]:[Number]],0,0),_xlpm.Init,_xlfn.XLOOKUP(N74,Exp_Shift[[Rating]:[Rating]],Exp_Shift[[Number]:[Number]],0,0),_xlpm.X,_xlfn.XLOOKUP(AB74,Exp_Shift[[Rating]:[Rating]],Exp_Shift[[Number]:[Number]],0,0), IF(_xlpm.Fin-_xlpm.Init&gt;0, _xlfn.XLOOKUP(MIN(4,_xlpm.X+1),Exp_Shift[[Number]:[Number]],Exp_Shift[[Rating]:[Rating]],0,0),IF(_xlpm.Fin-_xlpm.Init&lt;0,_xlfn.XLOOKUP(MAX(0,_xlpm.X),Exp_Shift[[Number]:[Number]],Exp_Shift[[Rating]:[Rating]],0,0),AB74)))</f>
        <v>E</v>
      </c>
      <c r="AC166" t="str" cm="1">
        <f t="array" ref="AC166">_xlfn.LET(_xlpm.Fin,_xlfn.XLOOKUP(O166,Exp_Shift[[Rating]:[Rating]],Exp_Shift[[Number]:[Number]],0,0),_xlpm.Init,_xlfn.XLOOKUP(O74,Exp_Shift[[Rating]:[Rating]],Exp_Shift[[Number]:[Number]],0,0),_xlpm.X,_xlfn.XLOOKUP(AC74,Exp_Shift[[Rating]:[Rating]],Exp_Shift[[Number]:[Number]],0,0), IF(_xlpm.Fin-_xlpm.Init&gt;0, _xlfn.XLOOKUP(MIN(4,_xlpm.X+1),Exp_Shift[[Number]:[Number]],Exp_Shift[[Rating]:[Rating]],0,0),IF(_xlpm.Fin-_xlpm.Init&lt;0,_xlfn.XLOOKUP(MAX(0,_xlpm.X),Exp_Shift[[Number]:[Number]],Exp_Shift[[Rating]:[Rating]],0,0),AC74)))</f>
        <v>L</v>
      </c>
      <c r="AD166" t="str" cm="1">
        <f t="array" ref="AD166">_xlfn.LET(_xlpm.Fin,_xlfn.XLOOKUP(P166,Exp_Shift[[Rating]:[Rating]],Exp_Shift[[Number]:[Number]],0,0),_xlpm.Init,_xlfn.XLOOKUP(P74,Exp_Shift[[Rating]:[Rating]],Exp_Shift[[Number]:[Number]],0,0),_xlpm.X,_xlfn.XLOOKUP(AD74,Exp_Shift[[Rating]:[Rating]],Exp_Shift[[Number]:[Number]],0,0), IF(_xlpm.Fin-_xlpm.Init&gt;0, _xlfn.XLOOKUP(MIN(4,_xlpm.X+1),Exp_Shift[[Number]:[Number]],Exp_Shift[[Rating]:[Rating]],0,0),IF(_xlpm.Fin-_xlpm.Init&lt;0,_xlfn.XLOOKUP(MAX(0,_xlpm.X),Exp_Shift[[Number]:[Number]],Exp_Shift[[Rating]:[Rating]],0,0),AD74)))</f>
        <v>L</v>
      </c>
      <c r="AE166" s="27" t="str" cm="1">
        <f t="array" ref="AE166">_xlfn.LET(_xlpm.Fin,_xlfn.XLOOKUP(Q166,Exp_Shift[[Rating]:[Rating]],Exp_Shift[[Number]:[Number]],0,0),_xlpm.Init,_xlfn.XLOOKUP(Q74,Exp_Shift[[Rating]:[Rating]],Exp_Shift[[Number]:[Number]],0,0),_xlpm.X,_xlfn.XLOOKUP(AE74,Exp_Shift[[Rating]:[Rating]],Exp_Shift[[Number]:[Number]],0,0), IF(_xlpm.Fin-_xlpm.Init&gt;0, _xlfn.XLOOKUP(MIN(4,_xlpm.X+1),Exp_Shift[[Number]:[Number]],Exp_Shift[[Rating]:[Rating]],0,0),IF(_xlpm.Fin-_xlpm.Init&lt;0,_xlfn.XLOOKUP(MAX(0,_xlpm.X),Exp_Shift[[Number]:[Number]],Exp_Shift[[Rating]:[Rating]],0,0),AE74)))</f>
        <v>E</v>
      </c>
    </row>
    <row r="167" spans="8:31" ht="18" x14ac:dyDescent="0.35">
      <c r="H167" s="26">
        <v>110</v>
      </c>
      <c r="I167" s="332" t="s">
        <v>46</v>
      </c>
      <c r="J167" s="328" t="s">
        <v>79</v>
      </c>
      <c r="K167" s="23" t="str" cm="1">
        <f t="array" ref="K167">_xlfn.SWITCH(K144,"N/A","L","L","M","M","H","H","E","E","N/A")</f>
        <v>L</v>
      </c>
      <c r="L167" t="str" cm="1">
        <f t="array" ref="L167">_xlfn.SWITCH(L144,"N/A","L","L","M","M","H","H","E","E","N/A")</f>
        <v>M</v>
      </c>
      <c r="M167" t="str" cm="1">
        <f t="array" ref="M167">_xlfn.SWITCH(M144,"N/A","L","L","M","M","H","H","E","E","N/A")</f>
        <v>M</v>
      </c>
      <c r="N167" t="str" cm="1">
        <f t="array" ref="N167">_xlfn.SWITCH(N144,"N/A","L","L","M","M","H","H","E","E","N/A")</f>
        <v>N/A</v>
      </c>
      <c r="O167" t="str" cm="1">
        <f t="array" ref="O167">_xlfn.SWITCH(O144,"N/A","L","L","M","M","H","H","E","E","N/A")</f>
        <v>N/A</v>
      </c>
      <c r="P167" t="str" cm="1">
        <f t="array" ref="P167">_xlfn.SWITCH(P144,"N/A","L","L","M","M","H","H","E","E","N/A")</f>
        <v>N/A</v>
      </c>
      <c r="Q167" s="19" t="str" cm="1">
        <f t="array" ref="Q167">_xlfn.SWITCH(Q144,"N/A","L","L","M","M","H","H","E","E","N/A")</f>
        <v>L</v>
      </c>
      <c r="R167" s="23" t="str" cm="1">
        <f t="array" ref="R167">_xlfn.LET(_xlpm.Fin,_xlfn.XLOOKUP(K167,Exp_Shift[[Rating]:[Rating]],Exp_Shift[[Number]:[Number]],0,0),_xlpm.Init,_xlfn.XLOOKUP(K75,Exp_Shift[[Rating]:[Rating]],Exp_Shift[[Number]:[Number]],0,0),_xlpm.X,_xlfn.XLOOKUP(R75,Exp_Shift[[Rating]:[Rating]],Exp_Shift[[Number]:[Number]],0,0), IF(_xlpm.Fin-_xlpm.Init&gt;0, _xlfn.XLOOKUP(MIN(4,_xlpm.X+_xlpm.Fin-_xlpm.Init),Exp_Shift[[Number]:[Number]],Exp_Shift[[Rating]:[Rating]],0,0),IF(_xlpm.Fin-_xlpm.Init&lt;0,_xlfn.XLOOKUP(MAX(0,_xlpm.X-1),Exp_Shift[[Number]:[Number]],Exp_Shift[[Rating]:[Rating]],0,0),R75)))</f>
        <v>M</v>
      </c>
      <c r="S167" t="str" cm="1">
        <f t="array" ref="S167">_xlfn.LET(_xlpm.Fin,_xlfn.XLOOKUP(L167,Exp_Shift[[Rating]:[Rating]],Exp_Shift[[Number]:[Number]],0,0),_xlpm.Init,_xlfn.XLOOKUP(L75,Exp_Shift[[Rating]:[Rating]],Exp_Shift[[Number]:[Number]],0,0),_xlpm.X,_xlfn.XLOOKUP(S75,Exp_Shift[[Rating]:[Rating]],Exp_Shift[[Number]:[Number]],0,0), IF(_xlpm.Fin-_xlpm.Init&gt;0, _xlfn.XLOOKUP(MIN(4,_xlpm.X+_xlpm.Fin-_xlpm.Init),Exp_Shift[[Number]:[Number]],Exp_Shift[[Rating]:[Rating]],0,0),IF(_xlpm.Fin-_xlpm.Init&lt;0,_xlfn.XLOOKUP(MAX(0,_xlpm.X-1),Exp_Shift[[Number]:[Number]],Exp_Shift[[Rating]:[Rating]],0,0),S75)))</f>
        <v>M</v>
      </c>
      <c r="T167" t="str" cm="1">
        <f t="array" ref="T167">_xlfn.LET(_xlpm.Fin,_xlfn.XLOOKUP(M167,Exp_Shift[[Rating]:[Rating]],Exp_Shift[[Number]:[Number]],0,0),_xlpm.Init,_xlfn.XLOOKUP(M75,Exp_Shift[[Rating]:[Rating]],Exp_Shift[[Number]:[Number]],0,0),_xlpm.X,_xlfn.XLOOKUP(T75,Exp_Shift[[Rating]:[Rating]],Exp_Shift[[Number]:[Number]],0,0), IF(_xlpm.Fin-_xlpm.Init&gt;0, _xlfn.XLOOKUP(MIN(4,_xlpm.X+_xlpm.Fin-_xlpm.Init),Exp_Shift[[Number]:[Number]],Exp_Shift[[Rating]:[Rating]],0,0),IF(_xlpm.Fin-_xlpm.Init&lt;0,_xlfn.XLOOKUP(MAX(0,_xlpm.X-1),Exp_Shift[[Number]:[Number]],Exp_Shift[[Rating]:[Rating]],0,0),T75)))</f>
        <v>H</v>
      </c>
      <c r="U167" t="str" cm="1">
        <f t="array" ref="U167">_xlfn.LET(_xlpm.Fin,_xlfn.XLOOKUP(N167,Exp_Shift[[Rating]:[Rating]],Exp_Shift[[Number]:[Number]],0,0),_xlpm.Init,_xlfn.XLOOKUP(N75,Exp_Shift[[Rating]:[Rating]],Exp_Shift[[Number]:[Number]],0,0),_xlpm.X,_xlfn.XLOOKUP(U75,Exp_Shift[[Rating]:[Rating]],Exp_Shift[[Number]:[Number]],0,0), IF(_xlpm.Fin-_xlpm.Init&gt;0, _xlfn.XLOOKUP(MIN(4,_xlpm.X+_xlpm.Fin-_xlpm.Init),Exp_Shift[[Number]:[Number]],Exp_Shift[[Rating]:[Rating]],0,0),IF(_xlpm.Fin-_xlpm.Init&lt;0,_xlfn.XLOOKUP(MAX(0,_xlpm.X-1),Exp_Shift[[Number]:[Number]],Exp_Shift[[Rating]:[Rating]],0,0),U75)))</f>
        <v>N/A</v>
      </c>
      <c r="V167" t="str" cm="1">
        <f t="array" ref="V167">_xlfn.LET(_xlpm.Fin,_xlfn.XLOOKUP(O167,Exp_Shift[[Rating]:[Rating]],Exp_Shift[[Number]:[Number]],0,0),_xlpm.Init,_xlfn.XLOOKUP(O75,Exp_Shift[[Rating]:[Rating]],Exp_Shift[[Number]:[Number]],0,0),_xlpm.X,_xlfn.XLOOKUP(V75,Exp_Shift[[Rating]:[Rating]],Exp_Shift[[Number]:[Number]],0,0), IF(_xlpm.Fin-_xlpm.Init&gt;0, _xlfn.XLOOKUP(MIN(4,_xlpm.X+_xlpm.Fin-_xlpm.Init),Exp_Shift[[Number]:[Number]],Exp_Shift[[Rating]:[Rating]],0,0),IF(_xlpm.Fin-_xlpm.Init&lt;0,_xlfn.XLOOKUP(MAX(0,_xlpm.X-1),Exp_Shift[[Number]:[Number]],Exp_Shift[[Rating]:[Rating]],0,0),V75)))</f>
        <v>M</v>
      </c>
      <c r="W167" t="str" cm="1">
        <f t="array" ref="W167">_xlfn.LET(_xlpm.Fin,_xlfn.XLOOKUP(P167,Exp_Shift[[Rating]:[Rating]],Exp_Shift[[Number]:[Number]],0,0),_xlpm.Init,_xlfn.XLOOKUP(P75,Exp_Shift[[Rating]:[Rating]],Exp_Shift[[Number]:[Number]],0,0),_xlpm.X,_xlfn.XLOOKUP(W75,Exp_Shift[[Rating]:[Rating]],Exp_Shift[[Number]:[Number]],0,0), IF(_xlpm.Fin-_xlpm.Init&gt;0, _xlfn.XLOOKUP(MIN(4,_xlpm.X+_xlpm.Fin-_xlpm.Init),Exp_Shift[[Number]:[Number]],Exp_Shift[[Rating]:[Rating]],0,0),IF(_xlpm.Fin-_xlpm.Init&lt;0,_xlfn.XLOOKUP(MAX(0,_xlpm.X-1),Exp_Shift[[Number]:[Number]],Exp_Shift[[Rating]:[Rating]],0,0),W75)))</f>
        <v>M</v>
      </c>
      <c r="X167" s="19" t="str" cm="1">
        <f t="array" ref="X167">_xlfn.LET(_xlpm.Fin,_xlfn.XLOOKUP(Q167,Exp_Shift[[Rating]:[Rating]],Exp_Shift[[Number]:[Number]],0,0),_xlpm.Init,_xlfn.XLOOKUP(Q75,Exp_Shift[[Rating]:[Rating]],Exp_Shift[[Number]:[Number]],0,0),_xlpm.X,_xlfn.XLOOKUP(X75,Exp_Shift[[Rating]:[Rating]],Exp_Shift[[Number]:[Number]],0,0), IF(_xlpm.Fin-_xlpm.Init&gt;0, _xlfn.XLOOKUP(MIN(4,_xlpm.X+_xlpm.Fin-_xlpm.Init),Exp_Shift[[Number]:[Number]],Exp_Shift[[Rating]:[Rating]],0,0),IF(_xlpm.Fin-_xlpm.Init&lt;0,_xlfn.XLOOKUP(MAX(0,_xlpm.X-1),Exp_Shift[[Number]:[Number]],Exp_Shift[[Rating]:[Rating]],0,0),X75)))</f>
        <v>M</v>
      </c>
      <c r="Y167" s="23" t="str" cm="1">
        <f t="array" ref="Y167">_xlfn.LET(_xlpm.Fin,_xlfn.XLOOKUP(K167,Exp_Shift[[Rating]:[Rating]],Exp_Shift[[Number]:[Number]],0,0),_xlpm.Init,_xlfn.XLOOKUP(K75,Exp_Shift[[Rating]:[Rating]],Exp_Shift[[Number]:[Number]],0,0),_xlpm.X,_xlfn.XLOOKUP(Y75,Exp_Shift[[Rating]:[Rating]],Exp_Shift[[Number]:[Number]],0,0), IF(_xlpm.Fin-_xlpm.Init&gt;0, _xlfn.XLOOKUP(MIN(4,_xlpm.X+1),Exp_Shift[[Number]:[Number]],Exp_Shift[[Rating]:[Rating]],0,0),IF(_xlpm.Fin-_xlpm.Init&lt;0,_xlfn.XLOOKUP(MAX(0,_xlpm.X),Exp_Shift[[Number]:[Number]],Exp_Shift[[Rating]:[Rating]],0,0),Y75)))</f>
        <v>E</v>
      </c>
      <c r="Z167" t="str" cm="1">
        <f t="array" ref="Z167">_xlfn.LET(_xlpm.Fin,_xlfn.XLOOKUP(L167,Exp_Shift[[Rating]:[Rating]],Exp_Shift[[Number]:[Number]],0,0),_xlpm.Init,_xlfn.XLOOKUP(L75,Exp_Shift[[Rating]:[Rating]],Exp_Shift[[Number]:[Number]],0,0),_xlpm.X,_xlfn.XLOOKUP(Z75,Exp_Shift[[Rating]:[Rating]],Exp_Shift[[Number]:[Number]],0,0), IF(_xlpm.Fin-_xlpm.Init&gt;0, _xlfn.XLOOKUP(MIN(4,_xlpm.X+1),Exp_Shift[[Number]:[Number]],Exp_Shift[[Rating]:[Rating]],0,0),IF(_xlpm.Fin-_xlpm.Init&lt;0,_xlfn.XLOOKUP(MAX(0,_xlpm.X),Exp_Shift[[Number]:[Number]],Exp_Shift[[Rating]:[Rating]],0,0),Z75)))</f>
        <v>H</v>
      </c>
      <c r="AA167" t="str" cm="1">
        <f t="array" ref="AA167">_xlfn.LET(_xlpm.Fin,_xlfn.XLOOKUP(M167,Exp_Shift[[Rating]:[Rating]],Exp_Shift[[Number]:[Number]],0,0),_xlpm.Init,_xlfn.XLOOKUP(M75,Exp_Shift[[Rating]:[Rating]],Exp_Shift[[Number]:[Number]],0,0),_xlpm.X,_xlfn.XLOOKUP(AA75,Exp_Shift[[Rating]:[Rating]],Exp_Shift[[Number]:[Number]],0,0), IF(_xlpm.Fin-_xlpm.Init&gt;0, _xlfn.XLOOKUP(MIN(4,_xlpm.X+1),Exp_Shift[[Number]:[Number]],Exp_Shift[[Rating]:[Rating]],0,0),IF(_xlpm.Fin-_xlpm.Init&lt;0,_xlfn.XLOOKUP(MAX(0,_xlpm.X),Exp_Shift[[Number]:[Number]],Exp_Shift[[Rating]:[Rating]],0,0),AA75)))</f>
        <v>E</v>
      </c>
      <c r="AB167" t="str" cm="1">
        <f t="array" ref="AB167">_xlfn.LET(_xlpm.Fin,_xlfn.XLOOKUP(N167,Exp_Shift[[Rating]:[Rating]],Exp_Shift[[Number]:[Number]],0,0),_xlpm.Init,_xlfn.XLOOKUP(N75,Exp_Shift[[Rating]:[Rating]],Exp_Shift[[Number]:[Number]],0,0),_xlpm.X,_xlfn.XLOOKUP(AB75,Exp_Shift[[Rating]:[Rating]],Exp_Shift[[Number]:[Number]],0,0), IF(_xlpm.Fin-_xlpm.Init&gt;0, _xlfn.XLOOKUP(MIN(4,_xlpm.X+1),Exp_Shift[[Number]:[Number]],Exp_Shift[[Rating]:[Rating]],0,0),IF(_xlpm.Fin-_xlpm.Init&lt;0,_xlfn.XLOOKUP(MAX(0,_xlpm.X),Exp_Shift[[Number]:[Number]],Exp_Shift[[Rating]:[Rating]],0,0),AB75)))</f>
        <v>L</v>
      </c>
      <c r="AC167" t="str" cm="1">
        <f t="array" ref="AC167">_xlfn.LET(_xlpm.Fin,_xlfn.XLOOKUP(O167,Exp_Shift[[Rating]:[Rating]],Exp_Shift[[Number]:[Number]],0,0),_xlpm.Init,_xlfn.XLOOKUP(O75,Exp_Shift[[Rating]:[Rating]],Exp_Shift[[Number]:[Number]],0,0),_xlpm.X,_xlfn.XLOOKUP(AC75,Exp_Shift[[Rating]:[Rating]],Exp_Shift[[Number]:[Number]],0,0), IF(_xlpm.Fin-_xlpm.Init&gt;0, _xlfn.XLOOKUP(MIN(4,_xlpm.X+1),Exp_Shift[[Number]:[Number]],Exp_Shift[[Rating]:[Rating]],0,0),IF(_xlpm.Fin-_xlpm.Init&lt;0,_xlfn.XLOOKUP(MAX(0,_xlpm.X),Exp_Shift[[Number]:[Number]],Exp_Shift[[Rating]:[Rating]],0,0),AC75)))</f>
        <v>E</v>
      </c>
      <c r="AD167" t="str" cm="1">
        <f t="array" ref="AD167">_xlfn.LET(_xlpm.Fin,_xlfn.XLOOKUP(P167,Exp_Shift[[Rating]:[Rating]],Exp_Shift[[Number]:[Number]],0,0),_xlpm.Init,_xlfn.XLOOKUP(P75,Exp_Shift[[Rating]:[Rating]],Exp_Shift[[Number]:[Number]],0,0),_xlpm.X,_xlfn.XLOOKUP(AD75,Exp_Shift[[Rating]:[Rating]],Exp_Shift[[Number]:[Number]],0,0), IF(_xlpm.Fin-_xlpm.Init&gt;0, _xlfn.XLOOKUP(MIN(4,_xlpm.X+1),Exp_Shift[[Number]:[Number]],Exp_Shift[[Rating]:[Rating]],0,0),IF(_xlpm.Fin-_xlpm.Init&lt;0,_xlfn.XLOOKUP(MAX(0,_xlpm.X),Exp_Shift[[Number]:[Number]],Exp_Shift[[Rating]:[Rating]],0,0),AD75)))</f>
        <v>E</v>
      </c>
      <c r="AE167" s="27" t="str" cm="1">
        <f t="array" ref="AE167">_xlfn.LET(_xlpm.Fin,_xlfn.XLOOKUP(Q167,Exp_Shift[[Rating]:[Rating]],Exp_Shift[[Number]:[Number]],0,0),_xlpm.Init,_xlfn.XLOOKUP(Q75,Exp_Shift[[Rating]:[Rating]],Exp_Shift[[Number]:[Number]],0,0),_xlpm.X,_xlfn.XLOOKUP(AE75,Exp_Shift[[Rating]:[Rating]],Exp_Shift[[Number]:[Number]],0,0), IF(_xlpm.Fin-_xlpm.Init&gt;0, _xlfn.XLOOKUP(MIN(4,_xlpm.X+1),Exp_Shift[[Number]:[Number]],Exp_Shift[[Rating]:[Rating]],0,0),IF(_xlpm.Fin-_xlpm.Init&lt;0,_xlfn.XLOOKUP(MAX(0,_xlpm.X),Exp_Shift[[Number]:[Number]],Exp_Shift[[Rating]:[Rating]],0,0),AE75)))</f>
        <v>E</v>
      </c>
    </row>
    <row r="168" spans="8:31" ht="18" x14ac:dyDescent="0.35">
      <c r="H168" s="26">
        <v>111</v>
      </c>
      <c r="I168" s="332" t="s">
        <v>46</v>
      </c>
      <c r="J168" s="328" t="s">
        <v>443</v>
      </c>
      <c r="K168" s="23" t="str" cm="1">
        <f t="array" ref="K168">_xlfn.SWITCH(K145,"N/A","L","L","M","M","H","H","E","E","N/A")</f>
        <v>L</v>
      </c>
      <c r="L168" t="str" cm="1">
        <f t="array" ref="L168">_xlfn.SWITCH(L145,"N/A","L","L","M","M","H","H","E","E","N/A")</f>
        <v>M</v>
      </c>
      <c r="M168" t="str" cm="1">
        <f t="array" ref="M168">_xlfn.SWITCH(M145,"N/A","L","L","M","M","H","H","E","E","N/A")</f>
        <v>M</v>
      </c>
      <c r="N168" t="str" cm="1">
        <f t="array" ref="N168">_xlfn.SWITCH(N145,"N/A","L","L","M","M","H","H","E","E","N/A")</f>
        <v>N/A</v>
      </c>
      <c r="O168" t="str" cm="1">
        <f t="array" ref="O168">_xlfn.SWITCH(O145,"N/A","L","L","M","M","H","H","E","E","N/A")</f>
        <v>E</v>
      </c>
      <c r="P168" t="str" cm="1">
        <f t="array" ref="P168">_xlfn.SWITCH(P145,"N/A","L","L","M","M","H","H","E","E","N/A")</f>
        <v>E</v>
      </c>
      <c r="Q168" s="19" t="str" cm="1">
        <f t="array" ref="Q168">_xlfn.SWITCH(Q145,"N/A","L","L","M","M","H","H","E","E","N/A")</f>
        <v>L</v>
      </c>
      <c r="R168" s="23" t="str" cm="1">
        <f t="array" ref="R168">_xlfn.LET(_xlpm.Fin,_xlfn.XLOOKUP(K168,Exp_Shift[[Rating]:[Rating]],Exp_Shift[[Number]:[Number]],0,0),_xlpm.Init,_xlfn.XLOOKUP(K76,Exp_Shift[[Rating]:[Rating]],Exp_Shift[[Number]:[Number]],0,0),_xlpm.X,_xlfn.XLOOKUP(R76,Exp_Shift[[Rating]:[Rating]],Exp_Shift[[Number]:[Number]],0,0), IF(_xlpm.Fin-_xlpm.Init&gt;0, _xlfn.XLOOKUP(MIN(4,_xlpm.X+_xlpm.Fin-_xlpm.Init),Exp_Shift[[Number]:[Number]],Exp_Shift[[Rating]:[Rating]],0,0),IF(_xlpm.Fin-_xlpm.Init&lt;0,_xlfn.XLOOKUP(MAX(0,_xlpm.X-1),Exp_Shift[[Number]:[Number]],Exp_Shift[[Rating]:[Rating]],0,0),R76)))</f>
        <v>M</v>
      </c>
      <c r="S168" t="str" cm="1">
        <f t="array" ref="S168">_xlfn.LET(_xlpm.Fin,_xlfn.XLOOKUP(L168,Exp_Shift[[Rating]:[Rating]],Exp_Shift[[Number]:[Number]],0,0),_xlpm.Init,_xlfn.XLOOKUP(L76,Exp_Shift[[Rating]:[Rating]],Exp_Shift[[Number]:[Number]],0,0),_xlpm.X,_xlfn.XLOOKUP(S76,Exp_Shift[[Rating]:[Rating]],Exp_Shift[[Number]:[Number]],0,0), IF(_xlpm.Fin-_xlpm.Init&gt;0, _xlfn.XLOOKUP(MIN(4,_xlpm.X+_xlpm.Fin-_xlpm.Init),Exp_Shift[[Number]:[Number]],Exp_Shift[[Rating]:[Rating]],0,0),IF(_xlpm.Fin-_xlpm.Init&lt;0,_xlfn.XLOOKUP(MAX(0,_xlpm.X-1),Exp_Shift[[Number]:[Number]],Exp_Shift[[Rating]:[Rating]],0,0),S76)))</f>
        <v>M</v>
      </c>
      <c r="T168" t="str" cm="1">
        <f t="array" ref="T168">_xlfn.LET(_xlpm.Fin,_xlfn.XLOOKUP(M168,Exp_Shift[[Rating]:[Rating]],Exp_Shift[[Number]:[Number]],0,0),_xlpm.Init,_xlfn.XLOOKUP(M76,Exp_Shift[[Rating]:[Rating]],Exp_Shift[[Number]:[Number]],0,0),_xlpm.X,_xlfn.XLOOKUP(T76,Exp_Shift[[Rating]:[Rating]],Exp_Shift[[Number]:[Number]],0,0), IF(_xlpm.Fin-_xlpm.Init&gt;0, _xlfn.XLOOKUP(MIN(4,_xlpm.X+_xlpm.Fin-_xlpm.Init),Exp_Shift[[Number]:[Number]],Exp_Shift[[Rating]:[Rating]],0,0),IF(_xlpm.Fin-_xlpm.Init&lt;0,_xlfn.XLOOKUP(MAX(0,_xlpm.X-1),Exp_Shift[[Number]:[Number]],Exp_Shift[[Rating]:[Rating]],0,0),T76)))</f>
        <v>H</v>
      </c>
      <c r="U168" t="str" cm="1">
        <f t="array" ref="U168">_xlfn.LET(_xlpm.Fin,_xlfn.XLOOKUP(N168,Exp_Shift[[Rating]:[Rating]],Exp_Shift[[Number]:[Number]],0,0),_xlpm.Init,_xlfn.XLOOKUP(N76,Exp_Shift[[Rating]:[Rating]],Exp_Shift[[Number]:[Number]],0,0),_xlpm.X,_xlfn.XLOOKUP(U76,Exp_Shift[[Rating]:[Rating]],Exp_Shift[[Number]:[Number]],0,0), IF(_xlpm.Fin-_xlpm.Init&gt;0, _xlfn.XLOOKUP(MIN(4,_xlpm.X+_xlpm.Fin-_xlpm.Init),Exp_Shift[[Number]:[Number]],Exp_Shift[[Rating]:[Rating]],0,0),IF(_xlpm.Fin-_xlpm.Init&lt;0,_xlfn.XLOOKUP(MAX(0,_xlpm.X-1),Exp_Shift[[Number]:[Number]],Exp_Shift[[Rating]:[Rating]],0,0),U76)))</f>
        <v>L</v>
      </c>
      <c r="V168" t="str" cm="1">
        <f t="array" ref="V168">_xlfn.LET(_xlpm.Fin,_xlfn.XLOOKUP(O168,Exp_Shift[[Rating]:[Rating]],Exp_Shift[[Number]:[Number]],0,0),_xlpm.Init,_xlfn.XLOOKUP(O76,Exp_Shift[[Rating]:[Rating]],Exp_Shift[[Number]:[Number]],0,0),_xlpm.X,_xlfn.XLOOKUP(V76,Exp_Shift[[Rating]:[Rating]],Exp_Shift[[Number]:[Number]],0,0), IF(_xlpm.Fin-_xlpm.Init&gt;0, _xlfn.XLOOKUP(MIN(4,_xlpm.X+_xlpm.Fin-_xlpm.Init),Exp_Shift[[Number]:[Number]],Exp_Shift[[Rating]:[Rating]],0,0),IF(_xlpm.Fin-_xlpm.Init&lt;0,_xlfn.XLOOKUP(MAX(0,_xlpm.X-1),Exp_Shift[[Number]:[Number]],Exp_Shift[[Rating]:[Rating]],0,0),V76)))</f>
        <v>E</v>
      </c>
      <c r="W168" t="str" cm="1">
        <f t="array" ref="W168">_xlfn.LET(_xlpm.Fin,_xlfn.XLOOKUP(P168,Exp_Shift[[Rating]:[Rating]],Exp_Shift[[Number]:[Number]],0,0),_xlpm.Init,_xlfn.XLOOKUP(P76,Exp_Shift[[Rating]:[Rating]],Exp_Shift[[Number]:[Number]],0,0),_xlpm.X,_xlfn.XLOOKUP(W76,Exp_Shift[[Rating]:[Rating]],Exp_Shift[[Number]:[Number]],0,0), IF(_xlpm.Fin-_xlpm.Init&gt;0, _xlfn.XLOOKUP(MIN(4,_xlpm.X+_xlpm.Fin-_xlpm.Init),Exp_Shift[[Number]:[Number]],Exp_Shift[[Rating]:[Rating]],0,0),IF(_xlpm.Fin-_xlpm.Init&lt;0,_xlfn.XLOOKUP(MAX(0,_xlpm.X-1),Exp_Shift[[Number]:[Number]],Exp_Shift[[Rating]:[Rating]],0,0),W76)))</f>
        <v>E</v>
      </c>
      <c r="X168" s="19" t="str" cm="1">
        <f t="array" ref="X168">_xlfn.LET(_xlpm.Fin,_xlfn.XLOOKUP(Q168,Exp_Shift[[Rating]:[Rating]],Exp_Shift[[Number]:[Number]],0,0),_xlpm.Init,_xlfn.XLOOKUP(Q76,Exp_Shift[[Rating]:[Rating]],Exp_Shift[[Number]:[Number]],0,0),_xlpm.X,_xlfn.XLOOKUP(X76,Exp_Shift[[Rating]:[Rating]],Exp_Shift[[Number]:[Number]],0,0), IF(_xlpm.Fin-_xlpm.Init&gt;0, _xlfn.XLOOKUP(MIN(4,_xlpm.X+_xlpm.Fin-_xlpm.Init),Exp_Shift[[Number]:[Number]],Exp_Shift[[Rating]:[Rating]],0,0),IF(_xlpm.Fin-_xlpm.Init&lt;0,_xlfn.XLOOKUP(MAX(0,_xlpm.X-1),Exp_Shift[[Number]:[Number]],Exp_Shift[[Rating]:[Rating]],0,0),X76)))</f>
        <v>L</v>
      </c>
      <c r="Y168" s="23" t="str" cm="1">
        <f t="array" ref="Y168">_xlfn.LET(_xlpm.Fin,_xlfn.XLOOKUP(K168,Exp_Shift[[Rating]:[Rating]],Exp_Shift[[Number]:[Number]],0,0),_xlpm.Init,_xlfn.XLOOKUP(K76,Exp_Shift[[Rating]:[Rating]],Exp_Shift[[Number]:[Number]],0,0),_xlpm.X,_xlfn.XLOOKUP(Y76,Exp_Shift[[Rating]:[Rating]],Exp_Shift[[Number]:[Number]],0,0), IF(_xlpm.Fin-_xlpm.Init&gt;0, _xlfn.XLOOKUP(MIN(4,_xlpm.X+1),Exp_Shift[[Number]:[Number]],Exp_Shift[[Rating]:[Rating]],0,0),IF(_xlpm.Fin-_xlpm.Init&lt;0,_xlfn.XLOOKUP(MAX(0,_xlpm.X),Exp_Shift[[Number]:[Number]],Exp_Shift[[Rating]:[Rating]],0,0),Y76)))</f>
        <v>H</v>
      </c>
      <c r="Z168" t="str" cm="1">
        <f t="array" ref="Z168">_xlfn.LET(_xlpm.Fin,_xlfn.XLOOKUP(L168,Exp_Shift[[Rating]:[Rating]],Exp_Shift[[Number]:[Number]],0,0),_xlpm.Init,_xlfn.XLOOKUP(L76,Exp_Shift[[Rating]:[Rating]],Exp_Shift[[Number]:[Number]],0,0),_xlpm.X,_xlfn.XLOOKUP(Z76,Exp_Shift[[Rating]:[Rating]],Exp_Shift[[Number]:[Number]],0,0), IF(_xlpm.Fin-_xlpm.Init&gt;0, _xlfn.XLOOKUP(MIN(4,_xlpm.X+1),Exp_Shift[[Number]:[Number]],Exp_Shift[[Rating]:[Rating]],0,0),IF(_xlpm.Fin-_xlpm.Init&lt;0,_xlfn.XLOOKUP(MAX(0,_xlpm.X),Exp_Shift[[Number]:[Number]],Exp_Shift[[Rating]:[Rating]],0,0),Z76)))</f>
        <v>H</v>
      </c>
      <c r="AA168" t="str" cm="1">
        <f t="array" ref="AA168">_xlfn.LET(_xlpm.Fin,_xlfn.XLOOKUP(M168,Exp_Shift[[Rating]:[Rating]],Exp_Shift[[Number]:[Number]],0,0),_xlpm.Init,_xlfn.XLOOKUP(M76,Exp_Shift[[Rating]:[Rating]],Exp_Shift[[Number]:[Number]],0,0),_xlpm.X,_xlfn.XLOOKUP(AA76,Exp_Shift[[Rating]:[Rating]],Exp_Shift[[Number]:[Number]],0,0), IF(_xlpm.Fin-_xlpm.Init&gt;0, _xlfn.XLOOKUP(MIN(4,_xlpm.X+1),Exp_Shift[[Number]:[Number]],Exp_Shift[[Rating]:[Rating]],0,0),IF(_xlpm.Fin-_xlpm.Init&lt;0,_xlfn.XLOOKUP(MAX(0,_xlpm.X),Exp_Shift[[Number]:[Number]],Exp_Shift[[Rating]:[Rating]],0,0),AA76)))</f>
        <v>E</v>
      </c>
      <c r="AB168" t="str" cm="1">
        <f t="array" ref="AB168">_xlfn.LET(_xlpm.Fin,_xlfn.XLOOKUP(N168,Exp_Shift[[Rating]:[Rating]],Exp_Shift[[Number]:[Number]],0,0),_xlpm.Init,_xlfn.XLOOKUP(N76,Exp_Shift[[Rating]:[Rating]],Exp_Shift[[Number]:[Number]],0,0),_xlpm.X,_xlfn.XLOOKUP(AB76,Exp_Shift[[Rating]:[Rating]],Exp_Shift[[Number]:[Number]],0,0), IF(_xlpm.Fin-_xlpm.Init&gt;0, _xlfn.XLOOKUP(MIN(4,_xlpm.X+1),Exp_Shift[[Number]:[Number]],Exp_Shift[[Rating]:[Rating]],0,0),IF(_xlpm.Fin-_xlpm.Init&lt;0,_xlfn.XLOOKUP(MAX(0,_xlpm.X),Exp_Shift[[Number]:[Number]],Exp_Shift[[Rating]:[Rating]],0,0),AB76)))</f>
        <v>H</v>
      </c>
      <c r="AC168" t="str" cm="1">
        <f t="array" ref="AC168">_xlfn.LET(_xlpm.Fin,_xlfn.XLOOKUP(O168,Exp_Shift[[Rating]:[Rating]],Exp_Shift[[Number]:[Number]],0,0),_xlpm.Init,_xlfn.XLOOKUP(O76,Exp_Shift[[Rating]:[Rating]],Exp_Shift[[Number]:[Number]],0,0),_xlpm.X,_xlfn.XLOOKUP(AC76,Exp_Shift[[Rating]:[Rating]],Exp_Shift[[Number]:[Number]],0,0), IF(_xlpm.Fin-_xlpm.Init&gt;0, _xlfn.XLOOKUP(MIN(4,_xlpm.X+1),Exp_Shift[[Number]:[Number]],Exp_Shift[[Rating]:[Rating]],0,0),IF(_xlpm.Fin-_xlpm.Init&lt;0,_xlfn.XLOOKUP(MAX(0,_xlpm.X),Exp_Shift[[Number]:[Number]],Exp_Shift[[Rating]:[Rating]],0,0),AC76)))</f>
        <v>L</v>
      </c>
      <c r="AD168" t="str" cm="1">
        <f t="array" ref="AD168">_xlfn.LET(_xlpm.Fin,_xlfn.XLOOKUP(P168,Exp_Shift[[Rating]:[Rating]],Exp_Shift[[Number]:[Number]],0,0),_xlpm.Init,_xlfn.XLOOKUP(P76,Exp_Shift[[Rating]:[Rating]],Exp_Shift[[Number]:[Number]],0,0),_xlpm.X,_xlfn.XLOOKUP(AD76,Exp_Shift[[Rating]:[Rating]],Exp_Shift[[Number]:[Number]],0,0), IF(_xlpm.Fin-_xlpm.Init&gt;0, _xlfn.XLOOKUP(MIN(4,_xlpm.X+1),Exp_Shift[[Number]:[Number]],Exp_Shift[[Rating]:[Rating]],0,0),IF(_xlpm.Fin-_xlpm.Init&lt;0,_xlfn.XLOOKUP(MAX(0,_xlpm.X),Exp_Shift[[Number]:[Number]],Exp_Shift[[Rating]:[Rating]],0,0),AD76)))</f>
        <v>L</v>
      </c>
      <c r="AE168" s="27" t="str" cm="1">
        <f t="array" ref="AE168">_xlfn.LET(_xlpm.Fin,_xlfn.XLOOKUP(Q168,Exp_Shift[[Rating]:[Rating]],Exp_Shift[[Number]:[Number]],0,0),_xlpm.Init,_xlfn.XLOOKUP(Q76,Exp_Shift[[Rating]:[Rating]],Exp_Shift[[Number]:[Number]],0,0),_xlpm.X,_xlfn.XLOOKUP(AE76,Exp_Shift[[Rating]:[Rating]],Exp_Shift[[Number]:[Number]],0,0), IF(_xlpm.Fin-_xlpm.Init&gt;0, _xlfn.XLOOKUP(MIN(4,_xlpm.X+1),Exp_Shift[[Number]:[Number]],Exp_Shift[[Rating]:[Rating]],0,0),IF(_xlpm.Fin-_xlpm.Init&lt;0,_xlfn.XLOOKUP(MAX(0,_xlpm.X),Exp_Shift[[Number]:[Number]],Exp_Shift[[Rating]:[Rating]],0,0),AE76)))</f>
        <v>M</v>
      </c>
    </row>
    <row r="169" spans="8:31" ht="18" x14ac:dyDescent="0.35">
      <c r="H169" s="26">
        <v>112</v>
      </c>
      <c r="I169" s="332" t="s">
        <v>46</v>
      </c>
      <c r="J169" s="328" t="s">
        <v>222</v>
      </c>
      <c r="K169" s="23" t="str" cm="1">
        <f t="array" ref="K169">_xlfn.SWITCH(K146,"N/A","L","L","M","M","H","H","E","E","N/A")</f>
        <v>L</v>
      </c>
      <c r="L169" t="str" cm="1">
        <f t="array" ref="L169">_xlfn.SWITCH(L146,"N/A","L","L","M","M","H","H","E","E","N/A")</f>
        <v>M</v>
      </c>
      <c r="M169" t="str" cm="1">
        <f t="array" ref="M169">_xlfn.SWITCH(M146,"N/A","L","L","M","M","H","H","E","E","N/A")</f>
        <v>M</v>
      </c>
      <c r="N169" t="str" cm="1">
        <f t="array" ref="N169">_xlfn.SWITCH(N146,"N/A","L","L","M","M","H","H","E","E","N/A")</f>
        <v>N/A</v>
      </c>
      <c r="O169" t="str" cm="1">
        <f t="array" ref="O169">_xlfn.SWITCH(O146,"N/A","L","L","M","M","H","H","E","E","N/A")</f>
        <v>N/A</v>
      </c>
      <c r="P169" t="str" cm="1">
        <f t="array" ref="P169">_xlfn.SWITCH(P146,"N/A","L","L","M","M","H","H","E","E","N/A")</f>
        <v>N/A</v>
      </c>
      <c r="Q169" s="19" t="str" cm="1">
        <f t="array" ref="Q169">_xlfn.SWITCH(Q146,"N/A","L","L","M","M","H","H","E","E","N/A")</f>
        <v>L</v>
      </c>
      <c r="R169" s="23" t="str" cm="1">
        <f t="array" ref="R169">_xlfn.LET(_xlpm.Fin,_xlfn.XLOOKUP(K169,Exp_Shift[[Rating]:[Rating]],Exp_Shift[[Number]:[Number]],0,0),_xlpm.Init,_xlfn.XLOOKUP(K77,Exp_Shift[[Rating]:[Rating]],Exp_Shift[[Number]:[Number]],0,0),_xlpm.X,_xlfn.XLOOKUP(R77,Exp_Shift[[Rating]:[Rating]],Exp_Shift[[Number]:[Number]],0,0), IF(_xlpm.Fin-_xlpm.Init&gt;0, _xlfn.XLOOKUP(MIN(4,_xlpm.X+_xlpm.Fin-_xlpm.Init),Exp_Shift[[Number]:[Number]],Exp_Shift[[Rating]:[Rating]],0,0),IF(_xlpm.Fin-_xlpm.Init&lt;0,_xlfn.XLOOKUP(MAX(0,_xlpm.X-1),Exp_Shift[[Number]:[Number]],Exp_Shift[[Rating]:[Rating]],0,0),R77)))</f>
        <v>L</v>
      </c>
      <c r="S169" t="str" cm="1">
        <f t="array" ref="S169">_xlfn.LET(_xlpm.Fin,_xlfn.XLOOKUP(L169,Exp_Shift[[Rating]:[Rating]],Exp_Shift[[Number]:[Number]],0,0),_xlpm.Init,_xlfn.XLOOKUP(L77,Exp_Shift[[Rating]:[Rating]],Exp_Shift[[Number]:[Number]],0,0),_xlpm.X,_xlfn.XLOOKUP(S77,Exp_Shift[[Rating]:[Rating]],Exp_Shift[[Number]:[Number]],0,0), IF(_xlpm.Fin-_xlpm.Init&gt;0, _xlfn.XLOOKUP(MIN(4,_xlpm.X+_xlpm.Fin-_xlpm.Init),Exp_Shift[[Number]:[Number]],Exp_Shift[[Rating]:[Rating]],0,0),IF(_xlpm.Fin-_xlpm.Init&lt;0,_xlfn.XLOOKUP(MAX(0,_xlpm.X-1),Exp_Shift[[Number]:[Number]],Exp_Shift[[Rating]:[Rating]],0,0),S77)))</f>
        <v>M</v>
      </c>
      <c r="T169" t="str" cm="1">
        <f t="array" ref="T169">_xlfn.LET(_xlpm.Fin,_xlfn.XLOOKUP(M169,Exp_Shift[[Rating]:[Rating]],Exp_Shift[[Number]:[Number]],0,0),_xlpm.Init,_xlfn.XLOOKUP(M77,Exp_Shift[[Rating]:[Rating]],Exp_Shift[[Number]:[Number]],0,0),_xlpm.X,_xlfn.XLOOKUP(T77,Exp_Shift[[Rating]:[Rating]],Exp_Shift[[Number]:[Number]],0,0), IF(_xlpm.Fin-_xlpm.Init&gt;0, _xlfn.XLOOKUP(MIN(4,_xlpm.X+_xlpm.Fin-_xlpm.Init),Exp_Shift[[Number]:[Number]],Exp_Shift[[Rating]:[Rating]],0,0),IF(_xlpm.Fin-_xlpm.Init&lt;0,_xlfn.XLOOKUP(MAX(0,_xlpm.X-1),Exp_Shift[[Number]:[Number]],Exp_Shift[[Rating]:[Rating]],0,0),T77)))</f>
        <v>H</v>
      </c>
      <c r="U169" t="str" cm="1">
        <f t="array" ref="U169">_xlfn.LET(_xlpm.Fin,_xlfn.XLOOKUP(N169,Exp_Shift[[Rating]:[Rating]],Exp_Shift[[Number]:[Number]],0,0),_xlpm.Init,_xlfn.XLOOKUP(N77,Exp_Shift[[Rating]:[Rating]],Exp_Shift[[Number]:[Number]],0,0),_xlpm.X,_xlfn.XLOOKUP(U77,Exp_Shift[[Rating]:[Rating]],Exp_Shift[[Number]:[Number]],0,0), IF(_xlpm.Fin-_xlpm.Init&gt;0, _xlfn.XLOOKUP(MIN(4,_xlpm.X+_xlpm.Fin-_xlpm.Init),Exp_Shift[[Number]:[Number]],Exp_Shift[[Rating]:[Rating]],0,0),IF(_xlpm.Fin-_xlpm.Init&lt;0,_xlfn.XLOOKUP(MAX(0,_xlpm.X-1),Exp_Shift[[Number]:[Number]],Exp_Shift[[Rating]:[Rating]],0,0),U77)))</f>
        <v>N/A</v>
      </c>
      <c r="V169" t="str" cm="1">
        <f t="array" ref="V169">_xlfn.LET(_xlpm.Fin,_xlfn.XLOOKUP(O169,Exp_Shift[[Rating]:[Rating]],Exp_Shift[[Number]:[Number]],0,0),_xlpm.Init,_xlfn.XLOOKUP(O77,Exp_Shift[[Rating]:[Rating]],Exp_Shift[[Number]:[Number]],0,0),_xlpm.X,_xlfn.XLOOKUP(V77,Exp_Shift[[Rating]:[Rating]],Exp_Shift[[Number]:[Number]],0,0), IF(_xlpm.Fin-_xlpm.Init&gt;0, _xlfn.XLOOKUP(MIN(4,_xlpm.X+_xlpm.Fin-_xlpm.Init),Exp_Shift[[Number]:[Number]],Exp_Shift[[Rating]:[Rating]],0,0),IF(_xlpm.Fin-_xlpm.Init&lt;0,_xlfn.XLOOKUP(MAX(0,_xlpm.X-1),Exp_Shift[[Number]:[Number]],Exp_Shift[[Rating]:[Rating]],0,0),V77)))</f>
        <v>L</v>
      </c>
      <c r="W169" t="str" cm="1">
        <f t="array" ref="W169">_xlfn.LET(_xlpm.Fin,_xlfn.XLOOKUP(P169,Exp_Shift[[Rating]:[Rating]],Exp_Shift[[Number]:[Number]],0,0),_xlpm.Init,_xlfn.XLOOKUP(P77,Exp_Shift[[Rating]:[Rating]],Exp_Shift[[Number]:[Number]],0,0),_xlpm.X,_xlfn.XLOOKUP(W77,Exp_Shift[[Rating]:[Rating]],Exp_Shift[[Number]:[Number]],0,0), IF(_xlpm.Fin-_xlpm.Init&gt;0, _xlfn.XLOOKUP(MIN(4,_xlpm.X+_xlpm.Fin-_xlpm.Init),Exp_Shift[[Number]:[Number]],Exp_Shift[[Rating]:[Rating]],0,0),IF(_xlpm.Fin-_xlpm.Init&lt;0,_xlfn.XLOOKUP(MAX(0,_xlpm.X-1),Exp_Shift[[Number]:[Number]],Exp_Shift[[Rating]:[Rating]],0,0),W77)))</f>
        <v>N/A</v>
      </c>
      <c r="X169" s="19" t="str" cm="1">
        <f t="array" ref="X169">_xlfn.LET(_xlpm.Fin,_xlfn.XLOOKUP(Q169,Exp_Shift[[Rating]:[Rating]],Exp_Shift[[Number]:[Number]],0,0),_xlpm.Init,_xlfn.XLOOKUP(Q77,Exp_Shift[[Rating]:[Rating]],Exp_Shift[[Number]:[Number]],0,0),_xlpm.X,_xlfn.XLOOKUP(X77,Exp_Shift[[Rating]:[Rating]],Exp_Shift[[Number]:[Number]],0,0), IF(_xlpm.Fin-_xlpm.Init&gt;0, _xlfn.XLOOKUP(MIN(4,_xlpm.X+_xlpm.Fin-_xlpm.Init),Exp_Shift[[Number]:[Number]],Exp_Shift[[Rating]:[Rating]],0,0),IF(_xlpm.Fin-_xlpm.Init&lt;0,_xlfn.XLOOKUP(MAX(0,_xlpm.X-1),Exp_Shift[[Number]:[Number]],Exp_Shift[[Rating]:[Rating]],0,0),X77)))</f>
        <v>L</v>
      </c>
      <c r="Y169" s="23" t="str" cm="1">
        <f t="array" ref="Y169">_xlfn.LET(_xlpm.Fin,_xlfn.XLOOKUP(K169,Exp_Shift[[Rating]:[Rating]],Exp_Shift[[Number]:[Number]],0,0),_xlpm.Init,_xlfn.XLOOKUP(K77,Exp_Shift[[Rating]:[Rating]],Exp_Shift[[Number]:[Number]],0,0),_xlpm.X,_xlfn.XLOOKUP(Y77,Exp_Shift[[Rating]:[Rating]],Exp_Shift[[Number]:[Number]],0,0), IF(_xlpm.Fin-_xlpm.Init&gt;0, _xlfn.XLOOKUP(MIN(4,_xlpm.X+1),Exp_Shift[[Number]:[Number]],Exp_Shift[[Rating]:[Rating]],0,0),IF(_xlpm.Fin-_xlpm.Init&lt;0,_xlfn.XLOOKUP(MAX(0,_xlpm.X),Exp_Shift[[Number]:[Number]],Exp_Shift[[Rating]:[Rating]],0,0),Y77)))</f>
        <v>M</v>
      </c>
      <c r="Z169" t="str" cm="1">
        <f t="array" ref="Z169">_xlfn.LET(_xlpm.Fin,_xlfn.XLOOKUP(L169,Exp_Shift[[Rating]:[Rating]],Exp_Shift[[Number]:[Number]],0,0),_xlpm.Init,_xlfn.XLOOKUP(L77,Exp_Shift[[Rating]:[Rating]],Exp_Shift[[Number]:[Number]],0,0),_xlpm.X,_xlfn.XLOOKUP(Z77,Exp_Shift[[Rating]:[Rating]],Exp_Shift[[Number]:[Number]],0,0), IF(_xlpm.Fin-_xlpm.Init&gt;0, _xlfn.XLOOKUP(MIN(4,_xlpm.X+1),Exp_Shift[[Number]:[Number]],Exp_Shift[[Rating]:[Rating]],0,0),IF(_xlpm.Fin-_xlpm.Init&lt;0,_xlfn.XLOOKUP(MAX(0,_xlpm.X),Exp_Shift[[Number]:[Number]],Exp_Shift[[Rating]:[Rating]],0,0),Z77)))</f>
        <v>H</v>
      </c>
      <c r="AA169" t="str" cm="1">
        <f t="array" ref="AA169">_xlfn.LET(_xlpm.Fin,_xlfn.XLOOKUP(M169,Exp_Shift[[Rating]:[Rating]],Exp_Shift[[Number]:[Number]],0,0),_xlpm.Init,_xlfn.XLOOKUP(M77,Exp_Shift[[Rating]:[Rating]],Exp_Shift[[Number]:[Number]],0,0),_xlpm.X,_xlfn.XLOOKUP(AA77,Exp_Shift[[Rating]:[Rating]],Exp_Shift[[Number]:[Number]],0,0), IF(_xlpm.Fin-_xlpm.Init&gt;0, _xlfn.XLOOKUP(MIN(4,_xlpm.X+1),Exp_Shift[[Number]:[Number]],Exp_Shift[[Rating]:[Rating]],0,0),IF(_xlpm.Fin-_xlpm.Init&lt;0,_xlfn.XLOOKUP(MAX(0,_xlpm.X),Exp_Shift[[Number]:[Number]],Exp_Shift[[Rating]:[Rating]],0,0),AA77)))</f>
        <v>E</v>
      </c>
      <c r="AB169" t="str" cm="1">
        <f t="array" ref="AB169">_xlfn.LET(_xlpm.Fin,_xlfn.XLOOKUP(N169,Exp_Shift[[Rating]:[Rating]],Exp_Shift[[Number]:[Number]],0,0),_xlpm.Init,_xlfn.XLOOKUP(N77,Exp_Shift[[Rating]:[Rating]],Exp_Shift[[Number]:[Number]],0,0),_xlpm.X,_xlfn.XLOOKUP(AB77,Exp_Shift[[Rating]:[Rating]],Exp_Shift[[Number]:[Number]],0,0), IF(_xlpm.Fin-_xlpm.Init&gt;0, _xlfn.XLOOKUP(MIN(4,_xlpm.X+1),Exp_Shift[[Number]:[Number]],Exp_Shift[[Rating]:[Rating]],0,0),IF(_xlpm.Fin-_xlpm.Init&lt;0,_xlfn.XLOOKUP(MAX(0,_xlpm.X),Exp_Shift[[Number]:[Number]],Exp_Shift[[Rating]:[Rating]],0,0),AB77)))</f>
        <v>L</v>
      </c>
      <c r="AC169" t="str" cm="1">
        <f t="array" ref="AC169">_xlfn.LET(_xlpm.Fin,_xlfn.XLOOKUP(O169,Exp_Shift[[Rating]:[Rating]],Exp_Shift[[Number]:[Number]],0,0),_xlpm.Init,_xlfn.XLOOKUP(O77,Exp_Shift[[Rating]:[Rating]],Exp_Shift[[Number]:[Number]],0,0),_xlpm.X,_xlfn.XLOOKUP(AC77,Exp_Shift[[Rating]:[Rating]],Exp_Shift[[Number]:[Number]],0,0), IF(_xlpm.Fin-_xlpm.Init&gt;0, _xlfn.XLOOKUP(MIN(4,_xlpm.X+1),Exp_Shift[[Number]:[Number]],Exp_Shift[[Rating]:[Rating]],0,0),IF(_xlpm.Fin-_xlpm.Init&lt;0,_xlfn.XLOOKUP(MAX(0,_xlpm.X),Exp_Shift[[Number]:[Number]],Exp_Shift[[Rating]:[Rating]],0,0),AC77)))</f>
        <v>M</v>
      </c>
      <c r="AD169" t="str" cm="1">
        <f t="array" ref="AD169">_xlfn.LET(_xlpm.Fin,_xlfn.XLOOKUP(P169,Exp_Shift[[Rating]:[Rating]],Exp_Shift[[Number]:[Number]],0,0),_xlpm.Init,_xlfn.XLOOKUP(P77,Exp_Shift[[Rating]:[Rating]],Exp_Shift[[Number]:[Number]],0,0),_xlpm.X,_xlfn.XLOOKUP(AD77,Exp_Shift[[Rating]:[Rating]],Exp_Shift[[Number]:[Number]],0,0), IF(_xlpm.Fin-_xlpm.Init&gt;0, _xlfn.XLOOKUP(MIN(4,_xlpm.X+1),Exp_Shift[[Number]:[Number]],Exp_Shift[[Rating]:[Rating]],0,0),IF(_xlpm.Fin-_xlpm.Init&lt;0,_xlfn.XLOOKUP(MAX(0,_xlpm.X),Exp_Shift[[Number]:[Number]],Exp_Shift[[Rating]:[Rating]],0,0),AD77)))</f>
        <v>M</v>
      </c>
      <c r="AE169" s="27" t="str" cm="1">
        <f t="array" ref="AE169">_xlfn.LET(_xlpm.Fin,_xlfn.XLOOKUP(Q169,Exp_Shift[[Rating]:[Rating]],Exp_Shift[[Number]:[Number]],0,0),_xlpm.Init,_xlfn.XLOOKUP(Q77,Exp_Shift[[Rating]:[Rating]],Exp_Shift[[Number]:[Number]],0,0),_xlpm.X,_xlfn.XLOOKUP(AE77,Exp_Shift[[Rating]:[Rating]],Exp_Shift[[Number]:[Number]],0,0), IF(_xlpm.Fin-_xlpm.Init&gt;0, _xlfn.XLOOKUP(MIN(4,_xlpm.X+1),Exp_Shift[[Number]:[Number]],Exp_Shift[[Rating]:[Rating]],0,0),IF(_xlpm.Fin-_xlpm.Init&lt;0,_xlfn.XLOOKUP(MAX(0,_xlpm.X),Exp_Shift[[Number]:[Number]],Exp_Shift[[Rating]:[Rating]],0,0),AE77)))</f>
        <v>M</v>
      </c>
    </row>
    <row r="170" spans="8:31" ht="18" x14ac:dyDescent="0.35">
      <c r="H170" s="26">
        <v>113</v>
      </c>
      <c r="I170" s="332" t="s">
        <v>46</v>
      </c>
      <c r="J170" s="328" t="s">
        <v>221</v>
      </c>
      <c r="K170" s="23" t="str" cm="1">
        <f t="array" ref="K170">_xlfn.SWITCH(K147,"N/A","L","L","M","M","H","H","E","E","N/A")</f>
        <v>L</v>
      </c>
      <c r="L170" t="str" cm="1">
        <f t="array" ref="L170">_xlfn.SWITCH(L147,"N/A","L","L","M","M","H","H","E","E","N/A")</f>
        <v>N/A</v>
      </c>
      <c r="M170" t="str" cm="1">
        <f t="array" ref="M170">_xlfn.SWITCH(M147,"N/A","L","L","M","M","H","H","E","E","N/A")</f>
        <v>L</v>
      </c>
      <c r="N170" t="str" cm="1">
        <f t="array" ref="N170">_xlfn.SWITCH(N147,"N/A","L","L","M","M","H","H","E","E","N/A")</f>
        <v>L</v>
      </c>
      <c r="O170" t="str" cm="1">
        <f t="array" ref="O170">_xlfn.SWITCH(O147,"N/A","L","L","M","M","H","H","E","E","N/A")</f>
        <v>E</v>
      </c>
      <c r="P170" t="str" cm="1">
        <f t="array" ref="P170">_xlfn.SWITCH(P147,"N/A","L","L","M","M","H","H","E","E","N/A")</f>
        <v>E</v>
      </c>
      <c r="Q170" s="19" t="str" cm="1">
        <f t="array" ref="Q170">_xlfn.SWITCH(Q147,"N/A","L","L","M","M","H","H","E","E","N/A")</f>
        <v>L</v>
      </c>
      <c r="R170" s="23" t="str" cm="1">
        <f t="array" ref="R170">_xlfn.LET(_xlpm.Fin,_xlfn.XLOOKUP(K170,Exp_Shift[[Rating]:[Rating]],Exp_Shift[[Number]:[Number]],0,0),_xlpm.Init,_xlfn.XLOOKUP(K78,Exp_Shift[[Rating]:[Rating]],Exp_Shift[[Number]:[Number]],0,0),_xlpm.X,_xlfn.XLOOKUP(R78,Exp_Shift[[Rating]:[Rating]],Exp_Shift[[Number]:[Number]],0,0), IF(_xlpm.Fin-_xlpm.Init&gt;0, _xlfn.XLOOKUP(MIN(4,_xlpm.X+_xlpm.Fin-_xlpm.Init),Exp_Shift[[Number]:[Number]],Exp_Shift[[Rating]:[Rating]],0,0),IF(_xlpm.Fin-_xlpm.Init&lt;0,_xlfn.XLOOKUP(MAX(0,_xlpm.X-1),Exp_Shift[[Number]:[Number]],Exp_Shift[[Rating]:[Rating]],0,0),R78)))</f>
        <v>M</v>
      </c>
      <c r="S170" t="str" cm="1">
        <f t="array" ref="S170">_xlfn.LET(_xlpm.Fin,_xlfn.XLOOKUP(L170,Exp_Shift[[Rating]:[Rating]],Exp_Shift[[Number]:[Number]],0,0),_xlpm.Init,_xlfn.XLOOKUP(L78,Exp_Shift[[Rating]:[Rating]],Exp_Shift[[Number]:[Number]],0,0),_xlpm.X,_xlfn.XLOOKUP(S78,Exp_Shift[[Rating]:[Rating]],Exp_Shift[[Number]:[Number]],0,0), IF(_xlpm.Fin-_xlpm.Init&gt;0, _xlfn.XLOOKUP(MIN(4,_xlpm.X+_xlpm.Fin-_xlpm.Init),Exp_Shift[[Number]:[Number]],Exp_Shift[[Rating]:[Rating]],0,0),IF(_xlpm.Fin-_xlpm.Init&lt;0,_xlfn.XLOOKUP(MAX(0,_xlpm.X-1),Exp_Shift[[Number]:[Number]],Exp_Shift[[Rating]:[Rating]],0,0),S78)))</f>
        <v>L</v>
      </c>
      <c r="T170" t="str" cm="1">
        <f t="array" ref="T170">_xlfn.LET(_xlpm.Fin,_xlfn.XLOOKUP(M170,Exp_Shift[[Rating]:[Rating]],Exp_Shift[[Number]:[Number]],0,0),_xlpm.Init,_xlfn.XLOOKUP(M78,Exp_Shift[[Rating]:[Rating]],Exp_Shift[[Number]:[Number]],0,0),_xlpm.X,_xlfn.XLOOKUP(T78,Exp_Shift[[Rating]:[Rating]],Exp_Shift[[Number]:[Number]],0,0), IF(_xlpm.Fin-_xlpm.Init&gt;0, _xlfn.XLOOKUP(MIN(4,_xlpm.X+_xlpm.Fin-_xlpm.Init),Exp_Shift[[Number]:[Number]],Exp_Shift[[Rating]:[Rating]],0,0),IF(_xlpm.Fin-_xlpm.Init&lt;0,_xlfn.XLOOKUP(MAX(0,_xlpm.X-1),Exp_Shift[[Number]:[Number]],Exp_Shift[[Rating]:[Rating]],0,0),T78)))</f>
        <v>M</v>
      </c>
      <c r="U170" t="str" cm="1">
        <f t="array" ref="U170">_xlfn.LET(_xlpm.Fin,_xlfn.XLOOKUP(N170,Exp_Shift[[Rating]:[Rating]],Exp_Shift[[Number]:[Number]],0,0),_xlpm.Init,_xlfn.XLOOKUP(N78,Exp_Shift[[Rating]:[Rating]],Exp_Shift[[Number]:[Number]],0,0),_xlpm.X,_xlfn.XLOOKUP(U78,Exp_Shift[[Rating]:[Rating]],Exp_Shift[[Number]:[Number]],0,0), IF(_xlpm.Fin-_xlpm.Init&gt;0, _xlfn.XLOOKUP(MIN(4,_xlpm.X+_xlpm.Fin-_xlpm.Init),Exp_Shift[[Number]:[Number]],Exp_Shift[[Rating]:[Rating]],0,0),IF(_xlpm.Fin-_xlpm.Init&lt;0,_xlfn.XLOOKUP(MAX(0,_xlpm.X-1),Exp_Shift[[Number]:[Number]],Exp_Shift[[Rating]:[Rating]],0,0),U78)))</f>
        <v>M</v>
      </c>
      <c r="V170" t="str" cm="1">
        <f t="array" ref="V170">_xlfn.LET(_xlpm.Fin,_xlfn.XLOOKUP(O170,Exp_Shift[[Rating]:[Rating]],Exp_Shift[[Number]:[Number]],0,0),_xlpm.Init,_xlfn.XLOOKUP(O78,Exp_Shift[[Rating]:[Rating]],Exp_Shift[[Number]:[Number]],0,0),_xlpm.X,_xlfn.XLOOKUP(V78,Exp_Shift[[Rating]:[Rating]],Exp_Shift[[Number]:[Number]],0,0), IF(_xlpm.Fin-_xlpm.Init&gt;0, _xlfn.XLOOKUP(MIN(4,_xlpm.X+_xlpm.Fin-_xlpm.Init),Exp_Shift[[Number]:[Number]],Exp_Shift[[Rating]:[Rating]],0,0),IF(_xlpm.Fin-_xlpm.Init&lt;0,_xlfn.XLOOKUP(MAX(0,_xlpm.X-1),Exp_Shift[[Number]:[Number]],Exp_Shift[[Rating]:[Rating]],0,0),V78)))</f>
        <v>E</v>
      </c>
      <c r="W170" t="str" cm="1">
        <f t="array" ref="W170">_xlfn.LET(_xlpm.Fin,_xlfn.XLOOKUP(P170,Exp_Shift[[Rating]:[Rating]],Exp_Shift[[Number]:[Number]],0,0),_xlpm.Init,_xlfn.XLOOKUP(P78,Exp_Shift[[Rating]:[Rating]],Exp_Shift[[Number]:[Number]],0,0),_xlpm.X,_xlfn.XLOOKUP(W78,Exp_Shift[[Rating]:[Rating]],Exp_Shift[[Number]:[Number]],0,0), IF(_xlpm.Fin-_xlpm.Init&gt;0, _xlfn.XLOOKUP(MIN(4,_xlpm.X+_xlpm.Fin-_xlpm.Init),Exp_Shift[[Number]:[Number]],Exp_Shift[[Rating]:[Rating]],0,0),IF(_xlpm.Fin-_xlpm.Init&lt;0,_xlfn.XLOOKUP(MAX(0,_xlpm.X-1),Exp_Shift[[Number]:[Number]],Exp_Shift[[Rating]:[Rating]],0,0),W78)))</f>
        <v>E</v>
      </c>
      <c r="X170" s="19" t="str" cm="1">
        <f t="array" ref="X170">_xlfn.LET(_xlpm.Fin,_xlfn.XLOOKUP(Q170,Exp_Shift[[Rating]:[Rating]],Exp_Shift[[Number]:[Number]],0,0),_xlpm.Init,_xlfn.XLOOKUP(Q78,Exp_Shift[[Rating]:[Rating]],Exp_Shift[[Number]:[Number]],0,0),_xlpm.X,_xlfn.XLOOKUP(X78,Exp_Shift[[Rating]:[Rating]],Exp_Shift[[Number]:[Number]],0,0), IF(_xlpm.Fin-_xlpm.Init&gt;0, _xlfn.XLOOKUP(MIN(4,_xlpm.X+_xlpm.Fin-_xlpm.Init),Exp_Shift[[Number]:[Number]],Exp_Shift[[Rating]:[Rating]],0,0),IF(_xlpm.Fin-_xlpm.Init&lt;0,_xlfn.XLOOKUP(MAX(0,_xlpm.X-1),Exp_Shift[[Number]:[Number]],Exp_Shift[[Rating]:[Rating]],0,0),X78)))</f>
        <v>M</v>
      </c>
      <c r="Y170" s="23" t="str" cm="1">
        <f t="array" ref="Y170">_xlfn.LET(_xlpm.Fin,_xlfn.XLOOKUP(K170,Exp_Shift[[Rating]:[Rating]],Exp_Shift[[Number]:[Number]],0,0),_xlpm.Init,_xlfn.XLOOKUP(K78,Exp_Shift[[Rating]:[Rating]],Exp_Shift[[Number]:[Number]],0,0),_xlpm.X,_xlfn.XLOOKUP(Y78,Exp_Shift[[Rating]:[Rating]],Exp_Shift[[Number]:[Number]],0,0), IF(_xlpm.Fin-_xlpm.Init&gt;0, _xlfn.XLOOKUP(MIN(4,_xlpm.X+1),Exp_Shift[[Number]:[Number]],Exp_Shift[[Rating]:[Rating]],0,0),IF(_xlpm.Fin-_xlpm.Init&lt;0,_xlfn.XLOOKUP(MAX(0,_xlpm.X),Exp_Shift[[Number]:[Number]],Exp_Shift[[Rating]:[Rating]],0,0),Y78)))</f>
        <v>H</v>
      </c>
      <c r="Z170" t="str" cm="1">
        <f t="array" ref="Z170">_xlfn.LET(_xlpm.Fin,_xlfn.XLOOKUP(L170,Exp_Shift[[Rating]:[Rating]],Exp_Shift[[Number]:[Number]],0,0),_xlpm.Init,_xlfn.XLOOKUP(L78,Exp_Shift[[Rating]:[Rating]],Exp_Shift[[Number]:[Number]],0,0),_xlpm.X,_xlfn.XLOOKUP(Z78,Exp_Shift[[Rating]:[Rating]],Exp_Shift[[Number]:[Number]],0,0), IF(_xlpm.Fin-_xlpm.Init&gt;0, _xlfn.XLOOKUP(MIN(4,_xlpm.X+1),Exp_Shift[[Number]:[Number]],Exp_Shift[[Rating]:[Rating]],0,0),IF(_xlpm.Fin-_xlpm.Init&lt;0,_xlfn.XLOOKUP(MAX(0,_xlpm.X),Exp_Shift[[Number]:[Number]],Exp_Shift[[Rating]:[Rating]],0,0),Z78)))</f>
        <v>H</v>
      </c>
      <c r="AA170" t="str" cm="1">
        <f t="array" ref="AA170">_xlfn.LET(_xlpm.Fin,_xlfn.XLOOKUP(M170,Exp_Shift[[Rating]:[Rating]],Exp_Shift[[Number]:[Number]],0,0),_xlpm.Init,_xlfn.XLOOKUP(M78,Exp_Shift[[Rating]:[Rating]],Exp_Shift[[Number]:[Number]],0,0),_xlpm.X,_xlfn.XLOOKUP(AA78,Exp_Shift[[Rating]:[Rating]],Exp_Shift[[Number]:[Number]],0,0), IF(_xlpm.Fin-_xlpm.Init&gt;0, _xlfn.XLOOKUP(MIN(4,_xlpm.X+1),Exp_Shift[[Number]:[Number]],Exp_Shift[[Rating]:[Rating]],0,0),IF(_xlpm.Fin-_xlpm.Init&lt;0,_xlfn.XLOOKUP(MAX(0,_xlpm.X),Exp_Shift[[Number]:[Number]],Exp_Shift[[Rating]:[Rating]],0,0),AA78)))</f>
        <v>E</v>
      </c>
      <c r="AB170" t="str" cm="1">
        <f t="array" ref="AB170">_xlfn.LET(_xlpm.Fin,_xlfn.XLOOKUP(N170,Exp_Shift[[Rating]:[Rating]],Exp_Shift[[Number]:[Number]],0,0),_xlpm.Init,_xlfn.XLOOKUP(N78,Exp_Shift[[Rating]:[Rating]],Exp_Shift[[Number]:[Number]],0,0),_xlpm.X,_xlfn.XLOOKUP(AB78,Exp_Shift[[Rating]:[Rating]],Exp_Shift[[Number]:[Number]],0,0), IF(_xlpm.Fin-_xlpm.Init&gt;0, _xlfn.XLOOKUP(MIN(4,_xlpm.X+1),Exp_Shift[[Number]:[Number]],Exp_Shift[[Rating]:[Rating]],0,0),IF(_xlpm.Fin-_xlpm.Init&lt;0,_xlfn.XLOOKUP(MAX(0,_xlpm.X),Exp_Shift[[Number]:[Number]],Exp_Shift[[Rating]:[Rating]],0,0),AB78)))</f>
        <v>E</v>
      </c>
      <c r="AC170" t="str" cm="1">
        <f t="array" ref="AC170">_xlfn.LET(_xlpm.Fin,_xlfn.XLOOKUP(O170,Exp_Shift[[Rating]:[Rating]],Exp_Shift[[Number]:[Number]],0,0),_xlpm.Init,_xlfn.XLOOKUP(O78,Exp_Shift[[Rating]:[Rating]],Exp_Shift[[Number]:[Number]],0,0),_xlpm.X,_xlfn.XLOOKUP(AC78,Exp_Shift[[Rating]:[Rating]],Exp_Shift[[Number]:[Number]],0,0), IF(_xlpm.Fin-_xlpm.Init&gt;0, _xlfn.XLOOKUP(MIN(4,_xlpm.X+1),Exp_Shift[[Number]:[Number]],Exp_Shift[[Rating]:[Rating]],0,0),IF(_xlpm.Fin-_xlpm.Init&lt;0,_xlfn.XLOOKUP(MAX(0,_xlpm.X),Exp_Shift[[Number]:[Number]],Exp_Shift[[Rating]:[Rating]],0,0),AC78)))</f>
        <v>L</v>
      </c>
      <c r="AD170" t="str" cm="1">
        <f t="array" ref="AD170">_xlfn.LET(_xlpm.Fin,_xlfn.XLOOKUP(P170,Exp_Shift[[Rating]:[Rating]],Exp_Shift[[Number]:[Number]],0,0),_xlpm.Init,_xlfn.XLOOKUP(P78,Exp_Shift[[Rating]:[Rating]],Exp_Shift[[Number]:[Number]],0,0),_xlpm.X,_xlfn.XLOOKUP(AD78,Exp_Shift[[Rating]:[Rating]],Exp_Shift[[Number]:[Number]],0,0), IF(_xlpm.Fin-_xlpm.Init&gt;0, _xlfn.XLOOKUP(MIN(4,_xlpm.X+1),Exp_Shift[[Number]:[Number]],Exp_Shift[[Rating]:[Rating]],0,0),IF(_xlpm.Fin-_xlpm.Init&lt;0,_xlfn.XLOOKUP(MAX(0,_xlpm.X),Exp_Shift[[Number]:[Number]],Exp_Shift[[Rating]:[Rating]],0,0),AD78)))</f>
        <v>L</v>
      </c>
      <c r="AE170" s="27" t="str" cm="1">
        <f t="array" ref="AE170">_xlfn.LET(_xlpm.Fin,_xlfn.XLOOKUP(Q170,Exp_Shift[[Rating]:[Rating]],Exp_Shift[[Number]:[Number]],0,0),_xlpm.Init,_xlfn.XLOOKUP(Q78,Exp_Shift[[Rating]:[Rating]],Exp_Shift[[Number]:[Number]],0,0),_xlpm.X,_xlfn.XLOOKUP(AE78,Exp_Shift[[Rating]:[Rating]],Exp_Shift[[Number]:[Number]],0,0), IF(_xlpm.Fin-_xlpm.Init&gt;0, _xlfn.XLOOKUP(MIN(4,_xlpm.X+1),Exp_Shift[[Number]:[Number]],Exp_Shift[[Rating]:[Rating]],0,0),IF(_xlpm.Fin-_xlpm.Init&lt;0,_xlfn.XLOOKUP(MAX(0,_xlpm.X),Exp_Shift[[Number]:[Number]],Exp_Shift[[Rating]:[Rating]],0,0),AE78)))</f>
        <v>E</v>
      </c>
    </row>
    <row r="171" spans="8:31" ht="18" x14ac:dyDescent="0.35">
      <c r="H171" s="26">
        <v>114</v>
      </c>
      <c r="I171" s="332" t="s">
        <v>46</v>
      </c>
      <c r="J171" s="328" t="s">
        <v>219</v>
      </c>
      <c r="K171" s="23" t="str" cm="1">
        <f t="array" ref="K171">_xlfn.SWITCH(K148,"N/A","L","L","M","M","H","H","E","E","N/A")</f>
        <v>L</v>
      </c>
      <c r="L171" t="str" cm="1">
        <f t="array" ref="L171">_xlfn.SWITCH(L148,"N/A","L","L","M","M","H","H","E","E","N/A")</f>
        <v>N/A</v>
      </c>
      <c r="M171" t="str" cm="1">
        <f t="array" ref="M171">_xlfn.SWITCH(M148,"N/A","L","L","M","M","H","H","E","E","N/A")</f>
        <v>L</v>
      </c>
      <c r="N171" t="str" cm="1">
        <f t="array" ref="N171">_xlfn.SWITCH(N148,"N/A","L","L","M","M","H","H","E","E","N/A")</f>
        <v>N/A</v>
      </c>
      <c r="O171" t="str" cm="1">
        <f t="array" ref="O171">_xlfn.SWITCH(O148,"N/A","L","L","M","M","H","H","E","E","N/A")</f>
        <v>L</v>
      </c>
      <c r="P171" t="str" cm="1">
        <f t="array" ref="P171">_xlfn.SWITCH(P148,"N/A","L","L","M","M","H","H","E","E","N/A")</f>
        <v>N/A</v>
      </c>
      <c r="Q171" s="19" t="str" cm="1">
        <f t="array" ref="Q171">_xlfn.SWITCH(Q148,"N/A","L","L","M","M","H","H","E","E","N/A")</f>
        <v>L</v>
      </c>
      <c r="R171" s="23" t="str" cm="1">
        <f t="array" ref="R171">_xlfn.LET(_xlpm.Fin,_xlfn.XLOOKUP(K171,Exp_Shift[[Rating]:[Rating]],Exp_Shift[[Number]:[Number]],0,0),_xlpm.Init,_xlfn.XLOOKUP(K79,Exp_Shift[[Rating]:[Rating]],Exp_Shift[[Number]:[Number]],0,0),_xlpm.X,_xlfn.XLOOKUP(R79,Exp_Shift[[Rating]:[Rating]],Exp_Shift[[Number]:[Number]],0,0), IF(_xlpm.Fin-_xlpm.Init&gt;0, _xlfn.XLOOKUP(MIN(4,_xlpm.X+_xlpm.Fin-_xlpm.Init),Exp_Shift[[Number]:[Number]],Exp_Shift[[Rating]:[Rating]],0,0),IF(_xlpm.Fin-_xlpm.Init&lt;0,_xlfn.XLOOKUP(MAX(0,_xlpm.X-1),Exp_Shift[[Number]:[Number]],Exp_Shift[[Rating]:[Rating]],0,0),R79)))</f>
        <v>M</v>
      </c>
      <c r="S171" t="str" cm="1">
        <f t="array" ref="S171">_xlfn.LET(_xlpm.Fin,_xlfn.XLOOKUP(L171,Exp_Shift[[Rating]:[Rating]],Exp_Shift[[Number]:[Number]],0,0),_xlpm.Init,_xlfn.XLOOKUP(L79,Exp_Shift[[Rating]:[Rating]],Exp_Shift[[Number]:[Number]],0,0),_xlpm.X,_xlfn.XLOOKUP(S79,Exp_Shift[[Rating]:[Rating]],Exp_Shift[[Number]:[Number]],0,0), IF(_xlpm.Fin-_xlpm.Init&gt;0, _xlfn.XLOOKUP(MIN(4,_xlpm.X+_xlpm.Fin-_xlpm.Init),Exp_Shift[[Number]:[Number]],Exp_Shift[[Rating]:[Rating]],0,0),IF(_xlpm.Fin-_xlpm.Init&lt;0,_xlfn.XLOOKUP(MAX(0,_xlpm.X-1),Exp_Shift[[Number]:[Number]],Exp_Shift[[Rating]:[Rating]],0,0),S79)))</f>
        <v>L</v>
      </c>
      <c r="T171" t="str" cm="1">
        <f t="array" ref="T171">_xlfn.LET(_xlpm.Fin,_xlfn.XLOOKUP(M171,Exp_Shift[[Rating]:[Rating]],Exp_Shift[[Number]:[Number]],0,0),_xlpm.Init,_xlfn.XLOOKUP(M79,Exp_Shift[[Rating]:[Rating]],Exp_Shift[[Number]:[Number]],0,0),_xlpm.X,_xlfn.XLOOKUP(T79,Exp_Shift[[Rating]:[Rating]],Exp_Shift[[Number]:[Number]],0,0), IF(_xlpm.Fin-_xlpm.Init&gt;0, _xlfn.XLOOKUP(MIN(4,_xlpm.X+_xlpm.Fin-_xlpm.Init),Exp_Shift[[Number]:[Number]],Exp_Shift[[Rating]:[Rating]],0,0),IF(_xlpm.Fin-_xlpm.Init&lt;0,_xlfn.XLOOKUP(MAX(0,_xlpm.X-1),Exp_Shift[[Number]:[Number]],Exp_Shift[[Rating]:[Rating]],0,0),T79)))</f>
        <v>M</v>
      </c>
      <c r="U171" t="str" cm="1">
        <f t="array" ref="U171">_xlfn.LET(_xlpm.Fin,_xlfn.XLOOKUP(N171,Exp_Shift[[Rating]:[Rating]],Exp_Shift[[Number]:[Number]],0,0),_xlpm.Init,_xlfn.XLOOKUP(N79,Exp_Shift[[Rating]:[Rating]],Exp_Shift[[Number]:[Number]],0,0),_xlpm.X,_xlfn.XLOOKUP(U79,Exp_Shift[[Rating]:[Rating]],Exp_Shift[[Number]:[Number]],0,0), IF(_xlpm.Fin-_xlpm.Init&gt;0, _xlfn.XLOOKUP(MIN(4,_xlpm.X+_xlpm.Fin-_xlpm.Init),Exp_Shift[[Number]:[Number]],Exp_Shift[[Rating]:[Rating]],0,0),IF(_xlpm.Fin-_xlpm.Init&lt;0,_xlfn.XLOOKUP(MAX(0,_xlpm.X-1),Exp_Shift[[Number]:[Number]],Exp_Shift[[Rating]:[Rating]],0,0),U79)))</f>
        <v>N/A</v>
      </c>
      <c r="V171" t="str" cm="1">
        <f t="array" ref="V171">_xlfn.LET(_xlpm.Fin,_xlfn.XLOOKUP(O171,Exp_Shift[[Rating]:[Rating]],Exp_Shift[[Number]:[Number]],0,0),_xlpm.Init,_xlfn.XLOOKUP(O79,Exp_Shift[[Rating]:[Rating]],Exp_Shift[[Number]:[Number]],0,0),_xlpm.X,_xlfn.XLOOKUP(V79,Exp_Shift[[Rating]:[Rating]],Exp_Shift[[Number]:[Number]],0,0), IF(_xlpm.Fin-_xlpm.Init&gt;0, _xlfn.XLOOKUP(MIN(4,_xlpm.X+_xlpm.Fin-_xlpm.Init),Exp_Shift[[Number]:[Number]],Exp_Shift[[Rating]:[Rating]],0,0),IF(_xlpm.Fin-_xlpm.Init&lt;0,_xlfn.XLOOKUP(MAX(0,_xlpm.X-1),Exp_Shift[[Number]:[Number]],Exp_Shift[[Rating]:[Rating]],0,0),V79)))</f>
        <v>M</v>
      </c>
      <c r="W171" t="str" cm="1">
        <f t="array" ref="W171">_xlfn.LET(_xlpm.Fin,_xlfn.XLOOKUP(P171,Exp_Shift[[Rating]:[Rating]],Exp_Shift[[Number]:[Number]],0,0),_xlpm.Init,_xlfn.XLOOKUP(P79,Exp_Shift[[Rating]:[Rating]],Exp_Shift[[Number]:[Number]],0,0),_xlpm.X,_xlfn.XLOOKUP(W79,Exp_Shift[[Rating]:[Rating]],Exp_Shift[[Number]:[Number]],0,0), IF(_xlpm.Fin-_xlpm.Init&gt;0, _xlfn.XLOOKUP(MIN(4,_xlpm.X+_xlpm.Fin-_xlpm.Init),Exp_Shift[[Number]:[Number]],Exp_Shift[[Rating]:[Rating]],0,0),IF(_xlpm.Fin-_xlpm.Init&lt;0,_xlfn.XLOOKUP(MAX(0,_xlpm.X-1),Exp_Shift[[Number]:[Number]],Exp_Shift[[Rating]:[Rating]],0,0),W79)))</f>
        <v>L</v>
      </c>
      <c r="X171" s="19" t="str" cm="1">
        <f t="array" ref="X171">_xlfn.LET(_xlpm.Fin,_xlfn.XLOOKUP(Q171,Exp_Shift[[Rating]:[Rating]],Exp_Shift[[Number]:[Number]],0,0),_xlpm.Init,_xlfn.XLOOKUP(Q79,Exp_Shift[[Rating]:[Rating]],Exp_Shift[[Number]:[Number]],0,0),_xlpm.X,_xlfn.XLOOKUP(X79,Exp_Shift[[Rating]:[Rating]],Exp_Shift[[Number]:[Number]],0,0), IF(_xlpm.Fin-_xlpm.Init&gt;0, _xlfn.XLOOKUP(MIN(4,_xlpm.X+_xlpm.Fin-_xlpm.Init),Exp_Shift[[Number]:[Number]],Exp_Shift[[Rating]:[Rating]],0,0),IF(_xlpm.Fin-_xlpm.Init&lt;0,_xlfn.XLOOKUP(MAX(0,_xlpm.X-1),Exp_Shift[[Number]:[Number]],Exp_Shift[[Rating]:[Rating]],0,0),X79)))</f>
        <v>M</v>
      </c>
      <c r="Y171" s="23" t="str" cm="1">
        <f t="array" ref="Y171">_xlfn.LET(_xlpm.Fin,_xlfn.XLOOKUP(K171,Exp_Shift[[Rating]:[Rating]],Exp_Shift[[Number]:[Number]],0,0),_xlpm.Init,_xlfn.XLOOKUP(K79,Exp_Shift[[Rating]:[Rating]],Exp_Shift[[Number]:[Number]],0,0),_xlpm.X,_xlfn.XLOOKUP(Y79,Exp_Shift[[Rating]:[Rating]],Exp_Shift[[Number]:[Number]],0,0), IF(_xlpm.Fin-_xlpm.Init&gt;0, _xlfn.XLOOKUP(MIN(4,_xlpm.X+1),Exp_Shift[[Number]:[Number]],Exp_Shift[[Rating]:[Rating]],0,0),IF(_xlpm.Fin-_xlpm.Init&lt;0,_xlfn.XLOOKUP(MAX(0,_xlpm.X),Exp_Shift[[Number]:[Number]],Exp_Shift[[Rating]:[Rating]],0,0),Y79)))</f>
        <v>H</v>
      </c>
      <c r="Z171" t="str" cm="1">
        <f t="array" ref="Z171">_xlfn.LET(_xlpm.Fin,_xlfn.XLOOKUP(L171,Exp_Shift[[Rating]:[Rating]],Exp_Shift[[Number]:[Number]],0,0),_xlpm.Init,_xlfn.XLOOKUP(L79,Exp_Shift[[Rating]:[Rating]],Exp_Shift[[Number]:[Number]],0,0),_xlpm.X,_xlfn.XLOOKUP(Z79,Exp_Shift[[Rating]:[Rating]],Exp_Shift[[Number]:[Number]],0,0), IF(_xlpm.Fin-_xlpm.Init&gt;0, _xlfn.XLOOKUP(MIN(4,_xlpm.X+1),Exp_Shift[[Number]:[Number]],Exp_Shift[[Rating]:[Rating]],0,0),IF(_xlpm.Fin-_xlpm.Init&lt;0,_xlfn.XLOOKUP(MAX(0,_xlpm.X),Exp_Shift[[Number]:[Number]],Exp_Shift[[Rating]:[Rating]],0,0),Z79)))</f>
        <v>H</v>
      </c>
      <c r="AA171" t="str" cm="1">
        <f t="array" ref="AA171">_xlfn.LET(_xlpm.Fin,_xlfn.XLOOKUP(M171,Exp_Shift[[Rating]:[Rating]],Exp_Shift[[Number]:[Number]],0,0),_xlpm.Init,_xlfn.XLOOKUP(M79,Exp_Shift[[Rating]:[Rating]],Exp_Shift[[Number]:[Number]],0,0),_xlpm.X,_xlfn.XLOOKUP(AA79,Exp_Shift[[Rating]:[Rating]],Exp_Shift[[Number]:[Number]],0,0), IF(_xlpm.Fin-_xlpm.Init&gt;0, _xlfn.XLOOKUP(MIN(4,_xlpm.X+1),Exp_Shift[[Number]:[Number]],Exp_Shift[[Rating]:[Rating]],0,0),IF(_xlpm.Fin-_xlpm.Init&lt;0,_xlfn.XLOOKUP(MAX(0,_xlpm.X),Exp_Shift[[Number]:[Number]],Exp_Shift[[Rating]:[Rating]],0,0),AA79)))</f>
        <v>E</v>
      </c>
      <c r="AB171" t="str" cm="1">
        <f t="array" ref="AB171">_xlfn.LET(_xlpm.Fin,_xlfn.XLOOKUP(N171,Exp_Shift[[Rating]:[Rating]],Exp_Shift[[Number]:[Number]],0,0),_xlpm.Init,_xlfn.XLOOKUP(N79,Exp_Shift[[Rating]:[Rating]],Exp_Shift[[Number]:[Number]],0,0),_xlpm.X,_xlfn.XLOOKUP(AB79,Exp_Shift[[Rating]:[Rating]],Exp_Shift[[Number]:[Number]],0,0), IF(_xlpm.Fin-_xlpm.Init&gt;0, _xlfn.XLOOKUP(MIN(4,_xlpm.X+1),Exp_Shift[[Number]:[Number]],Exp_Shift[[Rating]:[Rating]],0,0),IF(_xlpm.Fin-_xlpm.Init&lt;0,_xlfn.XLOOKUP(MAX(0,_xlpm.X),Exp_Shift[[Number]:[Number]],Exp_Shift[[Rating]:[Rating]],0,0),AB79)))</f>
        <v>H</v>
      </c>
      <c r="AC171" t="str" cm="1">
        <f t="array" ref="AC171">_xlfn.LET(_xlpm.Fin,_xlfn.XLOOKUP(O171,Exp_Shift[[Rating]:[Rating]],Exp_Shift[[Number]:[Number]],0,0),_xlpm.Init,_xlfn.XLOOKUP(O79,Exp_Shift[[Rating]:[Rating]],Exp_Shift[[Number]:[Number]],0,0),_xlpm.X,_xlfn.XLOOKUP(AC79,Exp_Shift[[Rating]:[Rating]],Exp_Shift[[Number]:[Number]],0,0), IF(_xlpm.Fin-_xlpm.Init&gt;0, _xlfn.XLOOKUP(MIN(4,_xlpm.X+1),Exp_Shift[[Number]:[Number]],Exp_Shift[[Rating]:[Rating]],0,0),IF(_xlpm.Fin-_xlpm.Init&lt;0,_xlfn.XLOOKUP(MAX(0,_xlpm.X),Exp_Shift[[Number]:[Number]],Exp_Shift[[Rating]:[Rating]],0,0),AC79)))</f>
        <v>E</v>
      </c>
      <c r="AD171" t="str" cm="1">
        <f t="array" ref="AD171">_xlfn.LET(_xlpm.Fin,_xlfn.XLOOKUP(P171,Exp_Shift[[Rating]:[Rating]],Exp_Shift[[Number]:[Number]],0,0),_xlpm.Init,_xlfn.XLOOKUP(P79,Exp_Shift[[Rating]:[Rating]],Exp_Shift[[Number]:[Number]],0,0),_xlpm.X,_xlfn.XLOOKUP(AD79,Exp_Shift[[Rating]:[Rating]],Exp_Shift[[Number]:[Number]],0,0), IF(_xlpm.Fin-_xlpm.Init&gt;0, _xlfn.XLOOKUP(MIN(4,_xlpm.X+1),Exp_Shift[[Number]:[Number]],Exp_Shift[[Rating]:[Rating]],0,0),IF(_xlpm.Fin-_xlpm.Init&lt;0,_xlfn.XLOOKUP(MAX(0,_xlpm.X),Exp_Shift[[Number]:[Number]],Exp_Shift[[Rating]:[Rating]],0,0),AD79)))</f>
        <v>H</v>
      </c>
      <c r="AE171" s="27" t="str" cm="1">
        <f t="array" ref="AE171">_xlfn.LET(_xlpm.Fin,_xlfn.XLOOKUP(Q171,Exp_Shift[[Rating]:[Rating]],Exp_Shift[[Number]:[Number]],0,0),_xlpm.Init,_xlfn.XLOOKUP(Q79,Exp_Shift[[Rating]:[Rating]],Exp_Shift[[Number]:[Number]],0,0),_xlpm.X,_xlfn.XLOOKUP(AE79,Exp_Shift[[Rating]:[Rating]],Exp_Shift[[Number]:[Number]],0,0), IF(_xlpm.Fin-_xlpm.Init&gt;0, _xlfn.XLOOKUP(MIN(4,_xlpm.X+1),Exp_Shift[[Number]:[Number]],Exp_Shift[[Rating]:[Rating]],0,0),IF(_xlpm.Fin-_xlpm.Init&lt;0,_xlfn.XLOOKUP(MAX(0,_xlpm.X),Exp_Shift[[Number]:[Number]],Exp_Shift[[Rating]:[Rating]],0,0),AE79)))</f>
        <v>E</v>
      </c>
    </row>
    <row r="172" spans="8:31" ht="18.5" thickBot="1" x14ac:dyDescent="0.4">
      <c r="H172" s="28">
        <v>115</v>
      </c>
      <c r="I172" s="348" t="s">
        <v>46</v>
      </c>
      <c r="J172" s="344" t="s">
        <v>217</v>
      </c>
      <c r="K172" s="227" t="str" cm="1">
        <f t="array" ref="K172">_xlfn.SWITCH(K149,"N/A","L","L","M","M","H","H","E","E","N/A")</f>
        <v>N/A</v>
      </c>
      <c r="L172" s="10" t="str" cm="1">
        <f t="array" ref="L172">_xlfn.SWITCH(L149,"N/A","L","L","M","M","H","H","E","E","N/A")</f>
        <v>M</v>
      </c>
      <c r="M172" s="10" t="str" cm="1">
        <f t="array" ref="M172">_xlfn.SWITCH(M149,"N/A","L","L","M","M","H","H","E","E","N/A")</f>
        <v>L</v>
      </c>
      <c r="N172" s="10" t="str" cm="1">
        <f t="array" ref="N172">_xlfn.SWITCH(N149,"N/A","L","L","M","M","H","H","E","E","N/A")</f>
        <v>L</v>
      </c>
      <c r="O172" s="10" t="str" cm="1">
        <f t="array" ref="O172">_xlfn.SWITCH(O149,"N/A","L","L","M","M","H","H","E","E","N/A")</f>
        <v>E</v>
      </c>
      <c r="P172" s="10" t="str" cm="1">
        <f t="array" ref="P172">_xlfn.SWITCH(P149,"N/A","L","L","M","M","H","H","E","E","N/A")</f>
        <v>N/A</v>
      </c>
      <c r="Q172" s="345" t="str" cm="1">
        <f t="array" ref="Q172">_xlfn.SWITCH(Q149,"N/A","L","L","M","M","H","H","E","E","N/A")</f>
        <v>L</v>
      </c>
      <c r="R172" s="227" t="str" cm="1">
        <f t="array" ref="R172">_xlfn.LET(_xlpm.Fin,_xlfn.XLOOKUP(K172,Exp_Shift[[Rating]:[Rating]],Exp_Shift[[Number]:[Number]],0,0),_xlpm.Init,_xlfn.XLOOKUP(K80,Exp_Shift[[Rating]:[Rating]],Exp_Shift[[Number]:[Number]],0,0),_xlpm.X,_xlfn.XLOOKUP(R80,Exp_Shift[[Rating]:[Rating]],Exp_Shift[[Number]:[Number]],0,0), IF(_xlpm.Fin-_xlpm.Init&gt;0, _xlfn.XLOOKUP(MIN(4,_xlpm.X+_xlpm.Fin-_xlpm.Init),Exp_Shift[[Number]:[Number]],Exp_Shift[[Rating]:[Rating]],0,0),IF(_xlpm.Fin-_xlpm.Init&lt;0,_xlfn.XLOOKUP(MAX(0,_xlpm.X-1),Exp_Shift[[Number]:[Number]],Exp_Shift[[Rating]:[Rating]],0,0),R80)))</f>
        <v>M</v>
      </c>
      <c r="S172" s="10" t="str" cm="1">
        <f t="array" ref="S172">_xlfn.LET(_xlpm.Fin,_xlfn.XLOOKUP(L172,Exp_Shift[[Rating]:[Rating]],Exp_Shift[[Number]:[Number]],0,0),_xlpm.Init,_xlfn.XLOOKUP(L80,Exp_Shift[[Rating]:[Rating]],Exp_Shift[[Number]:[Number]],0,0),_xlpm.X,_xlfn.XLOOKUP(S80,Exp_Shift[[Rating]:[Rating]],Exp_Shift[[Number]:[Number]],0,0), IF(_xlpm.Fin-_xlpm.Init&gt;0, _xlfn.XLOOKUP(MIN(4,_xlpm.X+_xlpm.Fin-_xlpm.Init),Exp_Shift[[Number]:[Number]],Exp_Shift[[Rating]:[Rating]],0,0),IF(_xlpm.Fin-_xlpm.Init&lt;0,_xlfn.XLOOKUP(MAX(0,_xlpm.X-1),Exp_Shift[[Number]:[Number]],Exp_Shift[[Rating]:[Rating]],0,0),S80)))</f>
        <v>M</v>
      </c>
      <c r="T172" s="10" t="str" cm="1">
        <f t="array" ref="T172">_xlfn.LET(_xlpm.Fin,_xlfn.XLOOKUP(M172,Exp_Shift[[Rating]:[Rating]],Exp_Shift[[Number]:[Number]],0,0),_xlpm.Init,_xlfn.XLOOKUP(M80,Exp_Shift[[Rating]:[Rating]],Exp_Shift[[Number]:[Number]],0,0),_xlpm.X,_xlfn.XLOOKUP(T80,Exp_Shift[[Rating]:[Rating]],Exp_Shift[[Number]:[Number]],0,0), IF(_xlpm.Fin-_xlpm.Init&gt;0, _xlfn.XLOOKUP(MIN(4,_xlpm.X+_xlpm.Fin-_xlpm.Init),Exp_Shift[[Number]:[Number]],Exp_Shift[[Rating]:[Rating]],0,0),IF(_xlpm.Fin-_xlpm.Init&lt;0,_xlfn.XLOOKUP(MAX(0,_xlpm.X-1),Exp_Shift[[Number]:[Number]],Exp_Shift[[Rating]:[Rating]],0,0),T80)))</f>
        <v>M</v>
      </c>
      <c r="U172" s="10" t="str" cm="1">
        <f t="array" ref="U172">_xlfn.LET(_xlpm.Fin,_xlfn.XLOOKUP(N172,Exp_Shift[[Rating]:[Rating]],Exp_Shift[[Number]:[Number]],0,0),_xlpm.Init,_xlfn.XLOOKUP(N80,Exp_Shift[[Rating]:[Rating]],Exp_Shift[[Number]:[Number]],0,0),_xlpm.X,_xlfn.XLOOKUP(U80,Exp_Shift[[Rating]:[Rating]],Exp_Shift[[Number]:[Number]],0,0), IF(_xlpm.Fin-_xlpm.Init&gt;0, _xlfn.XLOOKUP(MIN(4,_xlpm.X+_xlpm.Fin-_xlpm.Init),Exp_Shift[[Number]:[Number]],Exp_Shift[[Rating]:[Rating]],0,0),IF(_xlpm.Fin-_xlpm.Init&lt;0,_xlfn.XLOOKUP(MAX(0,_xlpm.X-1),Exp_Shift[[Number]:[Number]],Exp_Shift[[Rating]:[Rating]],0,0),U80)))</f>
        <v>M</v>
      </c>
      <c r="V172" s="10" t="str" cm="1">
        <f t="array" ref="V172">_xlfn.LET(_xlpm.Fin,_xlfn.XLOOKUP(O172,Exp_Shift[[Rating]:[Rating]],Exp_Shift[[Number]:[Number]],0,0),_xlpm.Init,_xlfn.XLOOKUP(O80,Exp_Shift[[Rating]:[Rating]],Exp_Shift[[Number]:[Number]],0,0),_xlpm.X,_xlfn.XLOOKUP(V80,Exp_Shift[[Rating]:[Rating]],Exp_Shift[[Number]:[Number]],0,0), IF(_xlpm.Fin-_xlpm.Init&gt;0, _xlfn.XLOOKUP(MIN(4,_xlpm.X+_xlpm.Fin-_xlpm.Init),Exp_Shift[[Number]:[Number]],Exp_Shift[[Rating]:[Rating]],0,0),IF(_xlpm.Fin-_xlpm.Init&lt;0,_xlfn.XLOOKUP(MAX(0,_xlpm.X-1),Exp_Shift[[Number]:[Number]],Exp_Shift[[Rating]:[Rating]],0,0),V80)))</f>
        <v>E</v>
      </c>
      <c r="W172" s="10" t="str" cm="1">
        <f t="array" ref="W172">_xlfn.LET(_xlpm.Fin,_xlfn.XLOOKUP(P172,Exp_Shift[[Rating]:[Rating]],Exp_Shift[[Number]:[Number]],0,0),_xlpm.Init,_xlfn.XLOOKUP(P80,Exp_Shift[[Rating]:[Rating]],Exp_Shift[[Number]:[Number]],0,0),_xlpm.X,_xlfn.XLOOKUP(W80,Exp_Shift[[Rating]:[Rating]],Exp_Shift[[Number]:[Number]],0,0), IF(_xlpm.Fin-_xlpm.Init&gt;0, _xlfn.XLOOKUP(MIN(4,_xlpm.X+_xlpm.Fin-_xlpm.Init),Exp_Shift[[Number]:[Number]],Exp_Shift[[Rating]:[Rating]],0,0),IF(_xlpm.Fin-_xlpm.Init&lt;0,_xlfn.XLOOKUP(MAX(0,_xlpm.X-1),Exp_Shift[[Number]:[Number]],Exp_Shift[[Rating]:[Rating]],0,0),W80)))</f>
        <v>M</v>
      </c>
      <c r="X172" s="345" t="str" cm="1">
        <f t="array" ref="X172">_xlfn.LET(_xlpm.Fin,_xlfn.XLOOKUP(Q172,Exp_Shift[[Rating]:[Rating]],Exp_Shift[[Number]:[Number]],0,0),_xlpm.Init,_xlfn.XLOOKUP(Q80,Exp_Shift[[Rating]:[Rating]],Exp_Shift[[Number]:[Number]],0,0),_xlpm.X,_xlfn.XLOOKUP(X80,Exp_Shift[[Rating]:[Rating]],Exp_Shift[[Number]:[Number]],0,0), IF(_xlpm.Fin-_xlpm.Init&gt;0, _xlfn.XLOOKUP(MIN(4,_xlpm.X+_xlpm.Fin-_xlpm.Init),Exp_Shift[[Number]:[Number]],Exp_Shift[[Rating]:[Rating]],0,0),IF(_xlpm.Fin-_xlpm.Init&lt;0,_xlfn.XLOOKUP(MAX(0,_xlpm.X-1),Exp_Shift[[Number]:[Number]],Exp_Shift[[Rating]:[Rating]],0,0),X80)))</f>
        <v>M</v>
      </c>
      <c r="Y172" s="227" t="str" cm="1">
        <f t="array" ref="Y172">_xlfn.LET(_xlpm.Fin,_xlfn.XLOOKUP(K172,Exp_Shift[[Rating]:[Rating]],Exp_Shift[[Number]:[Number]],0,0),_xlpm.Init,_xlfn.XLOOKUP(K80,Exp_Shift[[Rating]:[Rating]],Exp_Shift[[Number]:[Number]],0,0),_xlpm.X,_xlfn.XLOOKUP(Y80,Exp_Shift[[Rating]:[Rating]],Exp_Shift[[Number]:[Number]],0,0), IF(_xlpm.Fin-_xlpm.Init&gt;0, _xlfn.XLOOKUP(MIN(4,_xlpm.X+1),Exp_Shift[[Number]:[Number]],Exp_Shift[[Rating]:[Rating]],0,0),IF(_xlpm.Fin-_xlpm.Init&lt;0,_xlfn.XLOOKUP(MAX(0,_xlpm.X),Exp_Shift[[Number]:[Number]],Exp_Shift[[Rating]:[Rating]],0,0),Y80)))</f>
        <v>H</v>
      </c>
      <c r="Z172" s="10" t="str" cm="1">
        <f t="array" ref="Z172">_xlfn.LET(_xlpm.Fin,_xlfn.XLOOKUP(L172,Exp_Shift[[Rating]:[Rating]],Exp_Shift[[Number]:[Number]],0,0),_xlpm.Init,_xlfn.XLOOKUP(L80,Exp_Shift[[Rating]:[Rating]],Exp_Shift[[Number]:[Number]],0,0),_xlpm.X,_xlfn.XLOOKUP(Z80,Exp_Shift[[Rating]:[Rating]],Exp_Shift[[Number]:[Number]],0,0), IF(_xlpm.Fin-_xlpm.Init&gt;0, _xlfn.XLOOKUP(MIN(4,_xlpm.X+1),Exp_Shift[[Number]:[Number]],Exp_Shift[[Rating]:[Rating]],0,0),IF(_xlpm.Fin-_xlpm.Init&lt;0,_xlfn.XLOOKUP(MAX(0,_xlpm.X),Exp_Shift[[Number]:[Number]],Exp_Shift[[Rating]:[Rating]],0,0),Z80)))</f>
        <v>H</v>
      </c>
      <c r="AA172" s="10" t="str" cm="1">
        <f t="array" ref="AA172">_xlfn.LET(_xlpm.Fin,_xlfn.XLOOKUP(M172,Exp_Shift[[Rating]:[Rating]],Exp_Shift[[Number]:[Number]],0,0),_xlpm.Init,_xlfn.XLOOKUP(M80,Exp_Shift[[Rating]:[Rating]],Exp_Shift[[Number]:[Number]],0,0),_xlpm.X,_xlfn.XLOOKUP(AA80,Exp_Shift[[Rating]:[Rating]],Exp_Shift[[Number]:[Number]],0,0), IF(_xlpm.Fin-_xlpm.Init&gt;0, _xlfn.XLOOKUP(MIN(4,_xlpm.X+1),Exp_Shift[[Number]:[Number]],Exp_Shift[[Rating]:[Rating]],0,0),IF(_xlpm.Fin-_xlpm.Init&lt;0,_xlfn.XLOOKUP(MAX(0,_xlpm.X),Exp_Shift[[Number]:[Number]],Exp_Shift[[Rating]:[Rating]],0,0),AA80)))</f>
        <v>E</v>
      </c>
      <c r="AB172" s="10" t="str" cm="1">
        <f t="array" ref="AB172">_xlfn.LET(_xlpm.Fin,_xlfn.XLOOKUP(N172,Exp_Shift[[Rating]:[Rating]],Exp_Shift[[Number]:[Number]],0,0),_xlpm.Init,_xlfn.XLOOKUP(N80,Exp_Shift[[Rating]:[Rating]],Exp_Shift[[Number]:[Number]],0,0),_xlpm.X,_xlfn.XLOOKUP(AB80,Exp_Shift[[Rating]:[Rating]],Exp_Shift[[Number]:[Number]],0,0), IF(_xlpm.Fin-_xlpm.Init&gt;0, _xlfn.XLOOKUP(MIN(4,_xlpm.X+1),Exp_Shift[[Number]:[Number]],Exp_Shift[[Rating]:[Rating]],0,0),IF(_xlpm.Fin-_xlpm.Init&lt;0,_xlfn.XLOOKUP(MAX(0,_xlpm.X),Exp_Shift[[Number]:[Number]],Exp_Shift[[Rating]:[Rating]],0,0),AB80)))</f>
        <v>H</v>
      </c>
      <c r="AC172" s="10" t="str" cm="1">
        <f t="array" ref="AC172">_xlfn.LET(_xlpm.Fin,_xlfn.XLOOKUP(O172,Exp_Shift[[Rating]:[Rating]],Exp_Shift[[Number]:[Number]],0,0),_xlpm.Init,_xlfn.XLOOKUP(O80,Exp_Shift[[Rating]:[Rating]],Exp_Shift[[Number]:[Number]],0,0),_xlpm.X,_xlfn.XLOOKUP(AC80,Exp_Shift[[Rating]:[Rating]],Exp_Shift[[Number]:[Number]],0,0), IF(_xlpm.Fin-_xlpm.Init&gt;0, _xlfn.XLOOKUP(MIN(4,_xlpm.X+1),Exp_Shift[[Number]:[Number]],Exp_Shift[[Rating]:[Rating]],0,0),IF(_xlpm.Fin-_xlpm.Init&lt;0,_xlfn.XLOOKUP(MAX(0,_xlpm.X),Exp_Shift[[Number]:[Number]],Exp_Shift[[Rating]:[Rating]],0,0),AC80)))</f>
        <v>L</v>
      </c>
      <c r="AD172" s="10" t="str" cm="1">
        <f t="array" ref="AD172">_xlfn.LET(_xlpm.Fin,_xlfn.XLOOKUP(P172,Exp_Shift[[Rating]:[Rating]],Exp_Shift[[Number]:[Number]],0,0),_xlpm.Init,_xlfn.XLOOKUP(P80,Exp_Shift[[Rating]:[Rating]],Exp_Shift[[Number]:[Number]],0,0),_xlpm.X,_xlfn.XLOOKUP(AD80,Exp_Shift[[Rating]:[Rating]],Exp_Shift[[Number]:[Number]],0,0), IF(_xlpm.Fin-_xlpm.Init&gt;0, _xlfn.XLOOKUP(MIN(4,_xlpm.X+1),Exp_Shift[[Number]:[Number]],Exp_Shift[[Rating]:[Rating]],0,0),IF(_xlpm.Fin-_xlpm.Init&lt;0,_xlfn.XLOOKUP(MAX(0,_xlpm.X),Exp_Shift[[Number]:[Number]],Exp_Shift[[Rating]:[Rating]],0,0),AD80)))</f>
        <v>H</v>
      </c>
      <c r="AE172" s="12" t="str" cm="1">
        <f t="array" ref="AE172">_xlfn.LET(_xlpm.Fin,_xlfn.XLOOKUP(Q172,Exp_Shift[[Rating]:[Rating]],Exp_Shift[[Number]:[Number]],0,0),_xlpm.Init,_xlfn.XLOOKUP(Q80,Exp_Shift[[Rating]:[Rating]],Exp_Shift[[Number]:[Number]],0,0),_xlpm.X,_xlfn.XLOOKUP(AE80,Exp_Shift[[Rating]:[Rating]],Exp_Shift[[Number]:[Number]],0,0), IF(_xlpm.Fin-_xlpm.Init&gt;0, _xlfn.XLOOKUP(MIN(4,_xlpm.X+1),Exp_Shift[[Number]:[Number]],Exp_Shift[[Rating]:[Rating]],0,0),IF(_xlpm.Fin-_xlpm.Init&lt;0,_xlfn.XLOOKUP(MAX(0,_xlpm.X),Exp_Shift[[Number]:[Number]],Exp_Shift[[Rating]:[Rating]],0,0),AE80)))</f>
        <v>E</v>
      </c>
    </row>
  </sheetData>
  <mergeCells count="11">
    <mergeCell ref="D2:J2"/>
    <mergeCell ref="K2:Q2"/>
    <mergeCell ref="R2:X2"/>
    <mergeCell ref="Y2:AE2"/>
    <mergeCell ref="K56:Q56"/>
    <mergeCell ref="R56:X56"/>
    <mergeCell ref="Y56:AE56"/>
    <mergeCell ref="D29:J29"/>
    <mergeCell ref="K29:Q29"/>
    <mergeCell ref="R29:X29"/>
    <mergeCell ref="Y29:AE29"/>
  </mergeCells>
  <conditionalFormatting sqref="D31:J33 J34:J53 D35:I53">
    <cfRule type="cellIs" dxfId="196" priority="185" operator="equal">
      <formula>"Extreme"</formula>
    </cfRule>
    <cfRule type="cellIs" dxfId="195" priority="184" operator="equal">
      <formula>"High"</formula>
    </cfRule>
    <cfRule type="cellIs" dxfId="194" priority="183" operator="equal">
      <formula>"High"</formula>
    </cfRule>
    <cfRule type="cellIs" dxfId="193" priority="182" operator="equal">
      <formula>"Moderate"</formula>
    </cfRule>
    <cfRule type="cellIs" dxfId="192" priority="181" operator="equal">
      <formula>"Low"</formula>
    </cfRule>
  </conditionalFormatting>
  <conditionalFormatting sqref="D31:J53">
    <cfRule type="cellIs" dxfId="191" priority="178" operator="equal">
      <formula>"N/A"</formula>
    </cfRule>
    <cfRule type="cellIs" dxfId="190" priority="177" operator="equal">
      <formula>"L"</formula>
    </cfRule>
    <cfRule type="cellIs" dxfId="189" priority="176" operator="equal">
      <formula>"M"</formula>
    </cfRule>
    <cfRule type="cellIs" dxfId="188" priority="180" operator="equal">
      <formula>"E"</formula>
    </cfRule>
    <cfRule type="cellIs" dxfId="187" priority="179" operator="equal">
      <formula>"H"</formula>
    </cfRule>
  </conditionalFormatting>
  <conditionalFormatting sqref="D4:AE26">
    <cfRule type="cellIs" dxfId="186" priority="154" operator="equal">
      <formula>"Extreme"</formula>
    </cfRule>
    <cfRule type="cellIs" dxfId="185" priority="153" operator="equal">
      <formula>"High"</formula>
    </cfRule>
    <cfRule type="cellIs" dxfId="184" priority="152" operator="equal">
      <formula>"High"</formula>
    </cfRule>
    <cfRule type="cellIs" dxfId="183" priority="151" operator="equal">
      <formula>"Moderate"</formula>
    </cfRule>
    <cfRule type="cellIs" dxfId="182" priority="150" operator="equal">
      <formula>"Low"</formula>
    </cfRule>
    <cfRule type="cellIs" dxfId="181" priority="147" operator="equal">
      <formula>"E"</formula>
    </cfRule>
    <cfRule type="cellIs" dxfId="180" priority="146" operator="equal">
      <formula>"H"</formula>
    </cfRule>
    <cfRule type="cellIs" dxfId="179" priority="145" operator="equal">
      <formula>"N/A"</formula>
    </cfRule>
    <cfRule type="cellIs" dxfId="178" priority="144" operator="equal">
      <formula>"L"</formula>
    </cfRule>
    <cfRule type="cellIs" dxfId="177" priority="143" operator="equal">
      <formula>"M"</formula>
    </cfRule>
  </conditionalFormatting>
  <conditionalFormatting sqref="K2 R2 Y2">
    <cfRule type="cellIs" dxfId="176" priority="137" operator="equal">
      <formula>"High"</formula>
    </cfRule>
    <cfRule type="cellIs" dxfId="175" priority="138" operator="equal">
      <formula>"Extreme"</formula>
    </cfRule>
    <cfRule type="cellIs" dxfId="174" priority="136" operator="equal">
      <formula>"High"</formula>
    </cfRule>
    <cfRule type="cellIs" dxfId="173" priority="135" operator="equal">
      <formula>"Moderate"</formula>
    </cfRule>
    <cfRule type="cellIs" dxfId="172" priority="134" operator="equal">
      <formula>"Low"</formula>
    </cfRule>
  </conditionalFormatting>
  <conditionalFormatting sqref="K29 R29 Y29">
    <cfRule type="cellIs" dxfId="171" priority="113" operator="equal">
      <formula>"Low"</formula>
    </cfRule>
    <cfRule type="cellIs" dxfId="170" priority="114" operator="equal">
      <formula>"Moderate"</formula>
    </cfRule>
    <cfRule type="cellIs" dxfId="169" priority="117" operator="equal">
      <formula>"Extreme"</formula>
    </cfRule>
    <cfRule type="cellIs" dxfId="168" priority="115" operator="equal">
      <formula>"High"</formula>
    </cfRule>
    <cfRule type="cellIs" dxfId="167" priority="116" operator="equal">
      <formula>"High"</formula>
    </cfRule>
  </conditionalFormatting>
  <conditionalFormatting sqref="K56 R56 Y56">
    <cfRule type="cellIs" dxfId="166" priority="335" operator="equal">
      <formula>"High"</formula>
    </cfRule>
    <cfRule type="cellIs" dxfId="165" priority="336" operator="equal">
      <formula>"Extreme"</formula>
    </cfRule>
    <cfRule type="cellIs" dxfId="164" priority="332" operator="equal">
      <formula>"Low"</formula>
    </cfRule>
    <cfRule type="cellIs" dxfId="163" priority="333" operator="equal">
      <formula>"Moderate"</formula>
    </cfRule>
    <cfRule type="cellIs" dxfId="162" priority="334" operator="equal">
      <formula>"High"</formula>
    </cfRule>
  </conditionalFormatting>
  <conditionalFormatting sqref="K8:P17">
    <cfRule type="cellIs" dxfId="161" priority="148" operator="equal">
      <formula>"Extreme"</formula>
    </cfRule>
  </conditionalFormatting>
  <conditionalFormatting sqref="K31:P33">
    <cfRule type="cellIs" dxfId="160" priority="128" operator="equal">
      <formula>"Extreme"</formula>
    </cfRule>
  </conditionalFormatting>
  <conditionalFormatting sqref="K35:P53">
    <cfRule type="cellIs" dxfId="159" priority="127" operator="equal">
      <formula>"Extreme"</formula>
    </cfRule>
  </conditionalFormatting>
  <conditionalFormatting sqref="K58:P60">
    <cfRule type="cellIs" dxfId="158" priority="11" operator="equal">
      <formula>"Extreme"</formula>
    </cfRule>
  </conditionalFormatting>
  <conditionalFormatting sqref="K62:P83">
    <cfRule type="cellIs" dxfId="157" priority="10" operator="equal">
      <formula>"Extreme"</formula>
    </cfRule>
  </conditionalFormatting>
  <conditionalFormatting sqref="K85:P106">
    <cfRule type="cellIs" dxfId="156" priority="238" operator="equal">
      <formula>"Extreme"</formula>
    </cfRule>
  </conditionalFormatting>
  <conditionalFormatting sqref="K108:P129">
    <cfRule type="cellIs" dxfId="155" priority="226" operator="equal">
      <formula>"Extreme"</formula>
    </cfRule>
  </conditionalFormatting>
  <conditionalFormatting sqref="K131:P152">
    <cfRule type="cellIs" dxfId="154" priority="214" operator="equal">
      <formula>"Extreme"</formula>
    </cfRule>
  </conditionalFormatting>
  <conditionalFormatting sqref="K154:P172">
    <cfRule type="cellIs" dxfId="153" priority="213" operator="equal">
      <formula>"Extreme"</formula>
    </cfRule>
  </conditionalFormatting>
  <conditionalFormatting sqref="K4:Q26">
    <cfRule type="cellIs" dxfId="152" priority="149" operator="equal">
      <formula>"Extreme"</formula>
    </cfRule>
  </conditionalFormatting>
  <conditionalFormatting sqref="K81:Q83 Q84:Q103 K85:P103">
    <cfRule type="cellIs" dxfId="151" priority="254" operator="equal">
      <formula>"High"</formula>
    </cfRule>
    <cfRule type="cellIs" dxfId="150" priority="253" operator="equal">
      <formula>"High"</formula>
    </cfRule>
    <cfRule type="cellIs" dxfId="149" priority="252" operator="equal">
      <formula>"Moderate"</formula>
    </cfRule>
    <cfRule type="cellIs" dxfId="148" priority="251" operator="equal">
      <formula>"Low"</formula>
    </cfRule>
  </conditionalFormatting>
  <conditionalFormatting sqref="K81:Q83 Q84:Q103">
    <cfRule type="cellIs" dxfId="147" priority="255" operator="equal">
      <formula>"Extreme"</formula>
    </cfRule>
  </conditionalFormatting>
  <conditionalFormatting sqref="K81:Q172">
    <cfRule type="cellIs" dxfId="146" priority="208" operator="equal">
      <formula>"M"</formula>
    </cfRule>
    <cfRule type="cellIs" dxfId="145" priority="209" operator="equal">
      <formula>"L"</formula>
    </cfRule>
    <cfRule type="cellIs" dxfId="144" priority="210" operator="equal">
      <formula>"N/A"</formula>
    </cfRule>
    <cfRule type="cellIs" dxfId="143" priority="212" operator="equal">
      <formula>"E"</formula>
    </cfRule>
    <cfRule type="cellIs" dxfId="142" priority="211" operator="equal">
      <formula>"H"</formula>
    </cfRule>
  </conditionalFormatting>
  <conditionalFormatting sqref="K104:Q106 Q107:Q126 K108:P126">
    <cfRule type="cellIs" dxfId="141" priority="241" operator="equal">
      <formula>"High"</formula>
    </cfRule>
    <cfRule type="cellIs" dxfId="140" priority="242" operator="equal">
      <formula>"High"</formula>
    </cfRule>
    <cfRule type="cellIs" dxfId="139" priority="240" operator="equal">
      <formula>"Moderate"</formula>
    </cfRule>
    <cfRule type="cellIs" dxfId="138" priority="239" operator="equal">
      <formula>"Low"</formula>
    </cfRule>
  </conditionalFormatting>
  <conditionalFormatting sqref="K104:Q106 Q107:Q126">
    <cfRule type="cellIs" dxfId="137" priority="243" operator="equal">
      <formula>"Extreme"</formula>
    </cfRule>
  </conditionalFormatting>
  <conditionalFormatting sqref="K127:Q129 Q130:Q149 K131:P149">
    <cfRule type="cellIs" dxfId="136" priority="227" operator="equal">
      <formula>"Low"</formula>
    </cfRule>
    <cfRule type="cellIs" dxfId="135" priority="229" operator="equal">
      <formula>"High"</formula>
    </cfRule>
    <cfRule type="cellIs" dxfId="134" priority="228" operator="equal">
      <formula>"Moderate"</formula>
    </cfRule>
    <cfRule type="cellIs" dxfId="133" priority="230" operator="equal">
      <formula>"High"</formula>
    </cfRule>
  </conditionalFormatting>
  <conditionalFormatting sqref="K127:Q129 Q130:Q149">
    <cfRule type="cellIs" dxfId="132" priority="231" operator="equal">
      <formula>"Extreme"</formula>
    </cfRule>
  </conditionalFormatting>
  <conditionalFormatting sqref="K150:Q152 Q153:Q172 K154:P172">
    <cfRule type="cellIs" dxfId="131" priority="218" operator="equal">
      <formula>"High"</formula>
    </cfRule>
    <cfRule type="cellIs" dxfId="130" priority="217" operator="equal">
      <formula>"High"</formula>
    </cfRule>
    <cfRule type="cellIs" dxfId="129" priority="216" operator="equal">
      <formula>"Moderate"</formula>
    </cfRule>
    <cfRule type="cellIs" dxfId="128" priority="215" operator="equal">
      <formula>"Low"</formula>
    </cfRule>
  </conditionalFormatting>
  <conditionalFormatting sqref="K150:Q152 Q153:Q172">
    <cfRule type="cellIs" dxfId="127" priority="219" operator="equal">
      <formula>"Extreme"</formula>
    </cfRule>
  </conditionalFormatting>
  <conditionalFormatting sqref="K31:AE33 Q34:Q53 X34:X53 AE34:AE53 K35:P53 R35:W53 Y35:AD53">
    <cfRule type="cellIs" dxfId="126" priority="129" operator="equal">
      <formula>"Low"</formula>
    </cfRule>
    <cfRule type="cellIs" dxfId="125" priority="130" operator="equal">
      <formula>"Moderate"</formula>
    </cfRule>
    <cfRule type="cellIs" dxfId="124" priority="131" operator="equal">
      <formula>"High"</formula>
    </cfRule>
    <cfRule type="cellIs" dxfId="123" priority="132" operator="equal">
      <formula>"High"</formula>
    </cfRule>
  </conditionalFormatting>
  <conditionalFormatting sqref="K31:AE33 Q34:Q53 X34:X53 AE34:AE53">
    <cfRule type="cellIs" dxfId="122" priority="133" operator="equal">
      <formula>"Extreme"</formula>
    </cfRule>
  </conditionalFormatting>
  <conditionalFormatting sqref="K31:AE53">
    <cfRule type="cellIs" dxfId="121" priority="124" operator="equal">
      <formula>"N/A"</formula>
    </cfRule>
    <cfRule type="cellIs" dxfId="120" priority="123" operator="equal">
      <formula>"L"</formula>
    </cfRule>
    <cfRule type="cellIs" dxfId="119" priority="122" operator="equal">
      <formula>"M"</formula>
    </cfRule>
    <cfRule type="cellIs" dxfId="118" priority="125" operator="equal">
      <formula>"H"</formula>
    </cfRule>
    <cfRule type="cellIs" dxfId="117" priority="126" operator="equal">
      <formula>"E"</formula>
    </cfRule>
  </conditionalFormatting>
  <conditionalFormatting sqref="K58:AE60 Q61:Q80 X61:X80 AE61:AE80 K62:P80 R62:W80 Y62:AD80">
    <cfRule type="cellIs" dxfId="116" priority="15" operator="equal">
      <formula>"High"</formula>
    </cfRule>
    <cfRule type="cellIs" dxfId="115" priority="14" operator="equal">
      <formula>"High"</formula>
    </cfRule>
    <cfRule type="cellIs" dxfId="114" priority="13" operator="equal">
      <formula>"Moderate"</formula>
    </cfRule>
    <cfRule type="cellIs" dxfId="113" priority="12" operator="equal">
      <formula>"Low"</formula>
    </cfRule>
  </conditionalFormatting>
  <conditionalFormatting sqref="K58:AE60 Q61:Q80 X61:X80 AE61:AE80">
    <cfRule type="cellIs" dxfId="112" priority="16" operator="equal">
      <formula>"Extreme"</formula>
    </cfRule>
  </conditionalFormatting>
  <conditionalFormatting sqref="K58:AE80">
    <cfRule type="cellIs" dxfId="111" priority="8" operator="equal">
      <formula>"H"</formula>
    </cfRule>
    <cfRule type="cellIs" dxfId="110" priority="6" operator="equal">
      <formula>"L"</formula>
    </cfRule>
    <cfRule type="cellIs" dxfId="109" priority="7" operator="equal">
      <formula>"N/A"</formula>
    </cfRule>
    <cfRule type="cellIs" dxfId="108" priority="9" operator="equal">
      <formula>"E"</formula>
    </cfRule>
    <cfRule type="cellIs" dxfId="107" priority="5" operator="equal">
      <formula>"M"</formula>
    </cfRule>
  </conditionalFormatting>
  <conditionalFormatting sqref="R8:W13 V14:W17">
    <cfRule type="cellIs" dxfId="106" priority="141" operator="equal">
      <formula>"Extreme"</formula>
    </cfRule>
  </conditionalFormatting>
  <conditionalFormatting sqref="R31:W33">
    <cfRule type="cellIs" dxfId="105" priority="121" operator="equal">
      <formula>"Extreme"</formula>
    </cfRule>
  </conditionalFormatting>
  <conditionalFormatting sqref="R35:W53 V41:W44">
    <cfRule type="cellIs" dxfId="104" priority="120" operator="equal">
      <formula>"Extreme"</formula>
    </cfRule>
  </conditionalFormatting>
  <conditionalFormatting sqref="R58:W60">
    <cfRule type="cellIs" dxfId="103" priority="4" operator="equal">
      <formula>"Extreme"</formula>
    </cfRule>
  </conditionalFormatting>
  <conditionalFormatting sqref="R62:W83 V68:W71">
    <cfRule type="cellIs" dxfId="102" priority="3" operator="equal">
      <formula>"Extreme"</formula>
    </cfRule>
  </conditionalFormatting>
  <conditionalFormatting sqref="R85:W106">
    <cfRule type="cellIs" dxfId="101" priority="95" operator="equal">
      <formula>"Extreme"</formula>
    </cfRule>
  </conditionalFormatting>
  <conditionalFormatting sqref="R108:W129">
    <cfRule type="cellIs" dxfId="100" priority="83" operator="equal">
      <formula>"Extreme"</formula>
    </cfRule>
  </conditionalFormatting>
  <conditionalFormatting sqref="R131:W152">
    <cfRule type="cellIs" dxfId="99" priority="71" operator="equal">
      <formula>"Extreme"</formula>
    </cfRule>
  </conditionalFormatting>
  <conditionalFormatting sqref="R154:W172">
    <cfRule type="cellIs" dxfId="98" priority="70" operator="equal">
      <formula>"Extreme"</formula>
    </cfRule>
  </conditionalFormatting>
  <conditionalFormatting sqref="R4:X26">
    <cfRule type="cellIs" dxfId="97" priority="142" operator="equal">
      <formula>"Extreme"</formula>
    </cfRule>
  </conditionalFormatting>
  <conditionalFormatting sqref="R81:X83 X84:X103 R85:W103">
    <cfRule type="cellIs" dxfId="96" priority="110" operator="equal">
      <formula>"High"</formula>
    </cfRule>
    <cfRule type="cellIs" dxfId="95" priority="109" operator="equal">
      <formula>"Moderate"</formula>
    </cfRule>
    <cfRule type="cellIs" dxfId="94" priority="108" operator="equal">
      <formula>"Low"</formula>
    </cfRule>
    <cfRule type="cellIs" dxfId="93" priority="111" operator="equal">
      <formula>"High"</formula>
    </cfRule>
  </conditionalFormatting>
  <conditionalFormatting sqref="R81:X83 X84:X103">
    <cfRule type="cellIs" dxfId="92" priority="112" operator="equal">
      <formula>"Extreme"</formula>
    </cfRule>
  </conditionalFormatting>
  <conditionalFormatting sqref="R81:X172">
    <cfRule type="cellIs" dxfId="91" priority="68" operator="equal">
      <formula>"H"</formula>
    </cfRule>
    <cfRule type="cellIs" dxfId="90" priority="67" operator="equal">
      <formula>"N/A"</formula>
    </cfRule>
    <cfRule type="cellIs" dxfId="89" priority="65" operator="equal">
      <formula>"M"</formula>
    </cfRule>
    <cfRule type="cellIs" dxfId="88" priority="66" operator="equal">
      <formula>"L"</formula>
    </cfRule>
    <cfRule type="cellIs" dxfId="87" priority="69" operator="equal">
      <formula>"E"</formula>
    </cfRule>
  </conditionalFormatting>
  <conditionalFormatting sqref="R104:X106 X107:X126 R108:W126">
    <cfRule type="cellIs" dxfId="86" priority="97" operator="equal">
      <formula>"Moderate"</formula>
    </cfRule>
    <cfRule type="cellIs" dxfId="85" priority="99" operator="equal">
      <formula>"High"</formula>
    </cfRule>
    <cfRule type="cellIs" dxfId="84" priority="98" operator="equal">
      <formula>"High"</formula>
    </cfRule>
    <cfRule type="cellIs" dxfId="83" priority="96" operator="equal">
      <formula>"Low"</formula>
    </cfRule>
  </conditionalFormatting>
  <conditionalFormatting sqref="R104:X106 X107:X126">
    <cfRule type="cellIs" dxfId="82" priority="100" operator="equal">
      <formula>"Extreme"</formula>
    </cfRule>
  </conditionalFormatting>
  <conditionalFormatting sqref="R127:X129 X130:X149 R131:W149">
    <cfRule type="cellIs" dxfId="81" priority="84" operator="equal">
      <formula>"Low"</formula>
    </cfRule>
    <cfRule type="cellIs" dxfId="80" priority="86" operator="equal">
      <formula>"High"</formula>
    </cfRule>
    <cfRule type="cellIs" dxfId="79" priority="87" operator="equal">
      <formula>"High"</formula>
    </cfRule>
    <cfRule type="cellIs" dxfId="78" priority="85" operator="equal">
      <formula>"Moderate"</formula>
    </cfRule>
  </conditionalFormatting>
  <conditionalFormatting sqref="R127:X129 X130:X149">
    <cfRule type="cellIs" dxfId="77" priority="88" operator="equal">
      <formula>"Extreme"</formula>
    </cfRule>
  </conditionalFormatting>
  <conditionalFormatting sqref="R150:X152 X153:X172 R154:W172">
    <cfRule type="cellIs" dxfId="76" priority="73" operator="equal">
      <formula>"Moderate"</formula>
    </cfRule>
    <cfRule type="cellIs" dxfId="75" priority="72" operator="equal">
      <formula>"Low"</formula>
    </cfRule>
    <cfRule type="cellIs" dxfId="74" priority="75" operator="equal">
      <formula>"High"</formula>
    </cfRule>
    <cfRule type="cellIs" dxfId="73" priority="74" operator="equal">
      <formula>"High"</formula>
    </cfRule>
  </conditionalFormatting>
  <conditionalFormatting sqref="R150:X152 X153:X172">
    <cfRule type="cellIs" dxfId="72" priority="76" operator="equal">
      <formula>"Extreme"</formula>
    </cfRule>
  </conditionalFormatting>
  <conditionalFormatting sqref="Y8:AD13 AC14:AD17">
    <cfRule type="cellIs" dxfId="71" priority="139" operator="equal">
      <formula>"Extreme"</formula>
    </cfRule>
  </conditionalFormatting>
  <conditionalFormatting sqref="Y31:AD33">
    <cfRule type="cellIs" dxfId="70" priority="119" operator="equal">
      <formula>"Extreme"</formula>
    </cfRule>
  </conditionalFormatting>
  <conditionalFormatting sqref="Y35:AD53 AC41:AD44">
    <cfRule type="cellIs" dxfId="69" priority="118" operator="equal">
      <formula>"Extreme"</formula>
    </cfRule>
  </conditionalFormatting>
  <conditionalFormatting sqref="Y58:AD60">
    <cfRule type="cellIs" dxfId="68" priority="2" operator="equal">
      <formula>"Extreme"</formula>
    </cfRule>
  </conditionalFormatting>
  <conditionalFormatting sqref="Y62:AD83 AC68:AD71">
    <cfRule type="cellIs" dxfId="67" priority="1" operator="equal">
      <formula>"Extreme"</formula>
    </cfRule>
  </conditionalFormatting>
  <conditionalFormatting sqref="Y85:AD106">
    <cfRule type="cellIs" dxfId="66" priority="42" operator="equal">
      <formula>"Extreme"</formula>
    </cfRule>
  </conditionalFormatting>
  <conditionalFormatting sqref="Y108:AD129">
    <cfRule type="cellIs" dxfId="65" priority="30" operator="equal">
      <formula>"Extreme"</formula>
    </cfRule>
  </conditionalFormatting>
  <conditionalFormatting sqref="Y131:AD152">
    <cfRule type="cellIs" dxfId="64" priority="18" operator="equal">
      <formula>"Extreme"</formula>
    </cfRule>
  </conditionalFormatting>
  <conditionalFormatting sqref="Y154:AD172 AC160:AD163">
    <cfRule type="cellIs" dxfId="63" priority="17" operator="equal">
      <formula>"Extreme"</formula>
    </cfRule>
  </conditionalFormatting>
  <conditionalFormatting sqref="Y4:AE26">
    <cfRule type="cellIs" dxfId="62" priority="140" operator="equal">
      <formula>"Extreme"</formula>
    </cfRule>
  </conditionalFormatting>
  <conditionalFormatting sqref="Y81:AE83 AE84:AE103 Y85:AD103">
    <cfRule type="cellIs" dxfId="61" priority="63" operator="equal">
      <formula>"High"</formula>
    </cfRule>
    <cfRule type="cellIs" dxfId="60" priority="62" operator="equal">
      <formula>"High"</formula>
    </cfRule>
    <cfRule type="cellIs" dxfId="59" priority="61" operator="equal">
      <formula>"Moderate"</formula>
    </cfRule>
    <cfRule type="cellIs" dxfId="58" priority="60" operator="equal">
      <formula>"Low"</formula>
    </cfRule>
  </conditionalFormatting>
  <conditionalFormatting sqref="Y81:AE83 AE84:AE103">
    <cfRule type="cellIs" dxfId="57" priority="64" operator="equal">
      <formula>"Extreme"</formula>
    </cfRule>
  </conditionalFormatting>
  <conditionalFormatting sqref="Y81:AE172">
    <cfRule type="cellIs" dxfId="56" priority="20" operator="equal">
      <formula>"L"</formula>
    </cfRule>
    <cfRule type="cellIs" dxfId="55" priority="21" operator="equal">
      <formula>"N/A"</formula>
    </cfRule>
    <cfRule type="cellIs" dxfId="54" priority="23" operator="equal">
      <formula>"E"</formula>
    </cfRule>
    <cfRule type="cellIs" dxfId="53" priority="22" operator="equal">
      <formula>"H"</formula>
    </cfRule>
    <cfRule type="cellIs" dxfId="52" priority="19" operator="equal">
      <formula>"M"</formula>
    </cfRule>
  </conditionalFormatting>
  <conditionalFormatting sqref="Y104:AE106 AE107:AE126 Y108:AD126">
    <cfRule type="cellIs" dxfId="51" priority="49" operator="equal">
      <formula>"Moderate"</formula>
    </cfRule>
    <cfRule type="cellIs" dxfId="50" priority="48" operator="equal">
      <formula>"Low"</formula>
    </cfRule>
    <cfRule type="cellIs" dxfId="49" priority="51" operator="equal">
      <formula>"High"</formula>
    </cfRule>
    <cfRule type="cellIs" dxfId="48" priority="50" operator="equal">
      <formula>"High"</formula>
    </cfRule>
  </conditionalFormatting>
  <conditionalFormatting sqref="Y104:AE106 AE107:AE126">
    <cfRule type="cellIs" dxfId="47" priority="52" operator="equal">
      <formula>"Extreme"</formula>
    </cfRule>
  </conditionalFormatting>
  <conditionalFormatting sqref="Y127:AE129 AE130:AE149 Y131:AD149">
    <cfRule type="cellIs" dxfId="46" priority="39" operator="equal">
      <formula>"High"</formula>
    </cfRule>
    <cfRule type="cellIs" dxfId="45" priority="38" operator="equal">
      <formula>"High"</formula>
    </cfRule>
    <cfRule type="cellIs" dxfId="44" priority="37" operator="equal">
      <formula>"Moderate"</formula>
    </cfRule>
    <cfRule type="cellIs" dxfId="43" priority="36" operator="equal">
      <formula>"Low"</formula>
    </cfRule>
  </conditionalFormatting>
  <conditionalFormatting sqref="Y127:AE129 AE130:AE149">
    <cfRule type="cellIs" dxfId="42" priority="40" operator="equal">
      <formula>"Extreme"</formula>
    </cfRule>
  </conditionalFormatting>
  <conditionalFormatting sqref="Y150:AE152 AE153:AE172 Y154:AD172">
    <cfRule type="cellIs" dxfId="41" priority="27" operator="equal">
      <formula>"High"</formula>
    </cfRule>
    <cfRule type="cellIs" dxfId="40" priority="26" operator="equal">
      <formula>"High"</formula>
    </cfRule>
    <cfRule type="cellIs" dxfId="39" priority="25" operator="equal">
      <formula>"Moderate"</formula>
    </cfRule>
    <cfRule type="cellIs" dxfId="38" priority="24" operator="equal">
      <formula>"Low"</formula>
    </cfRule>
  </conditionalFormatting>
  <conditionalFormatting sqref="Y150:AE152 AE153:AE172">
    <cfRule type="cellIs" dxfId="37" priority="28" operator="equal">
      <formula>"Extreme"</formula>
    </cfRule>
  </conditionalFormatting>
  <conditionalFormatting sqref="AC91:AD94">
    <cfRule type="cellIs" dxfId="36" priority="53" operator="equal">
      <formula>"Extreme"</formula>
    </cfRule>
  </conditionalFormatting>
  <conditionalFormatting sqref="AC114:AD117">
    <cfRule type="cellIs" dxfId="35" priority="41" operator="equal">
      <formula>"Extreme"</formula>
    </cfRule>
  </conditionalFormatting>
  <conditionalFormatting sqref="AC137:AD140">
    <cfRule type="cellIs" dxfId="34" priority="29" operator="equal">
      <formula>"Extreme"</formula>
    </cfRule>
  </conditionalFormatting>
  <pageMargins left="0.7" right="0.7" top="0.75" bottom="0.75" header="0.3" footer="0.3"/>
  <pageSetup paperSize="256" orientation="portrait" horizontalDpi="1200" verticalDpi="1200" r:id="rId1"/>
  <tableParts count="3">
    <tablePart r:id="rId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55D65741-4E86-4412-AA69-B8C6DD367FAA}">
          <x14:formula1>
            <xm:f>'Backroom - VE Scoring'!$A$3:$A$7</xm:f>
          </x14:formula1>
          <xm:sqref>K58:AE172 D31:AE53 D4:AE26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E9259-B10E-4DED-9F2A-1CE8F34FEBD7}">
  <sheetPr codeName="Sheet8"/>
  <dimension ref="A1:R146"/>
  <sheetViews>
    <sheetView zoomScale="56" workbookViewId="0">
      <selection activeCell="D39" sqref="D39"/>
    </sheetView>
  </sheetViews>
  <sheetFormatPr defaultRowHeight="17.5" x14ac:dyDescent="0.35"/>
  <cols>
    <col min="2" max="2" width="41.9375" style="22" customWidth="1"/>
    <col min="3" max="3" width="17.0625" customWidth="1"/>
    <col min="6" max="6" width="14.0625" customWidth="1"/>
    <col min="7" max="7" width="20.4375" style="22" customWidth="1"/>
    <col min="9" max="9" width="26.0625" style="22" customWidth="1"/>
    <col min="10" max="10" width="44.375" customWidth="1"/>
    <col min="11" max="11" width="23.6875" style="22" customWidth="1"/>
  </cols>
  <sheetData>
    <row r="1" spans="1:14" ht="18" x14ac:dyDescent="0.35">
      <c r="E1" t="s">
        <v>43</v>
      </c>
      <c r="G1" s="92" t="s">
        <v>44</v>
      </c>
      <c r="I1" s="92" t="s">
        <v>45</v>
      </c>
      <c r="K1" s="92" t="s">
        <v>46</v>
      </c>
    </row>
    <row r="2" spans="1:14" x14ac:dyDescent="0.35">
      <c r="E2" t="s">
        <v>42</v>
      </c>
      <c r="G2" s="87" t="str">
        <f>'Backroom - VE Tables NEW'!C4</f>
        <v>Coastal / Marine Ecosystems</v>
      </c>
      <c r="I2" s="87" t="str">
        <f>'Backroom - VE Tables NEW'!C7</f>
        <v>Inhabited Buildings</v>
      </c>
      <c r="K2" s="87" t="str">
        <f>'Backroom - VE Tables NEW'!C18</f>
        <v>Outdoor Land Activities</v>
      </c>
      <c r="N2" s="18" t="s">
        <v>113</v>
      </c>
    </row>
    <row r="3" spans="1:14" x14ac:dyDescent="0.35">
      <c r="A3" s="15" t="s">
        <v>47</v>
      </c>
      <c r="B3" s="24"/>
      <c r="C3" s="16"/>
      <c r="E3" t="s">
        <v>48</v>
      </c>
      <c r="G3" s="87" t="str">
        <f>'Backroom - VE Tables NEW'!C5</f>
        <v>Terrestrial Ecosystems</v>
      </c>
      <c r="I3" s="87" t="str">
        <f>'Backroom - VE Tables NEW'!C8</f>
        <v>Ports / Wharves</v>
      </c>
      <c r="K3" s="87" t="str">
        <f>'Backroom - VE Tables NEW'!C19</f>
        <v>Outdoor Marine Activities</v>
      </c>
      <c r="N3" s="18" t="s">
        <v>114</v>
      </c>
    </row>
    <row r="4" spans="1:14" ht="17.399999999999999" customHeight="1" x14ac:dyDescent="0.35">
      <c r="A4" s="55">
        <v>0.1</v>
      </c>
      <c r="B4" s="57" t="s">
        <v>49</v>
      </c>
      <c r="C4" s="56"/>
      <c r="E4" t="s">
        <v>315</v>
      </c>
      <c r="G4" s="87" t="str">
        <f>'Backroom - VE Tables NEW'!C6</f>
        <v>Freshwater Ecosystems</v>
      </c>
      <c r="I4" s="87" t="str">
        <f>'Backroom - VE Tables NEW'!C9</f>
        <v>Airports / Airfields</v>
      </c>
      <c r="K4" s="87" t="str">
        <f>'Backroom - VE Tables NEW'!C20</f>
        <v>Outdoor Freshwater Activities</v>
      </c>
      <c r="N4" s="18" t="s">
        <v>116</v>
      </c>
    </row>
    <row r="5" spans="1:14" x14ac:dyDescent="0.35">
      <c r="A5" s="20">
        <v>0.2</v>
      </c>
      <c r="B5" s="53" t="s">
        <v>50</v>
      </c>
      <c r="C5" s="16"/>
      <c r="I5" s="87" t="str">
        <f>'Backroom - VE Tables NEW'!C10</f>
        <v>Telecommunications</v>
      </c>
      <c r="K5" s="87" t="str">
        <f>'Backroom - VE Tables NEW'!C21</f>
        <v>Outdoor Coastal Activities</v>
      </c>
      <c r="N5" s="18" t="s">
        <v>115</v>
      </c>
    </row>
    <row r="6" spans="1:14" x14ac:dyDescent="0.35">
      <c r="A6" s="25">
        <v>0.3</v>
      </c>
      <c r="B6" s="22" t="s">
        <v>553</v>
      </c>
      <c r="I6" s="87" t="str">
        <f>'Backroom - VE Tables NEW'!C11</f>
        <v>Electricity</v>
      </c>
      <c r="K6" s="87" t="str">
        <f>'Backroom - VE Tables NEW'!C22</f>
        <v>Land Transportation Activities</v>
      </c>
      <c r="N6" s="18" t="s">
        <v>118</v>
      </c>
    </row>
    <row r="7" spans="1:14" x14ac:dyDescent="0.35">
      <c r="I7" s="87" t="str">
        <f>'Backroom - VE Tables NEW'!C12</f>
        <v>Wastewater Infrastructure</v>
      </c>
      <c r="K7" s="87" t="str">
        <f>'Backroom - VE Tables NEW'!C23</f>
        <v>Water Transportation Activities</v>
      </c>
    </row>
    <row r="8" spans="1:14" x14ac:dyDescent="0.35">
      <c r="A8" t="s">
        <v>51</v>
      </c>
      <c r="B8" s="22" t="s">
        <v>278</v>
      </c>
      <c r="I8" s="87" t="str">
        <f>'Backroom - VE Tables NEW'!C13</f>
        <v>Transportation Assets</v>
      </c>
      <c r="K8" s="87" t="str">
        <f>'Backroom - VE Tables NEW'!C24</f>
        <v>Office / Shop / Admin Activities</v>
      </c>
    </row>
    <row r="9" spans="1:14" x14ac:dyDescent="0.35">
      <c r="A9">
        <v>1.1000000000000001</v>
      </c>
      <c r="B9" s="22" t="s">
        <v>384</v>
      </c>
      <c r="I9" s="87" t="str">
        <f>'Backroom - VE Tables NEW'!C14</f>
        <v>Water Supply</v>
      </c>
      <c r="K9" s="87" t="str">
        <f>'Backroom - VE Tables NEW'!C25</f>
        <v>Goods Supply Activities</v>
      </c>
    </row>
    <row r="10" spans="1:14" ht="22.5" customHeight="1" x14ac:dyDescent="0.35">
      <c r="A10" t="s">
        <v>52</v>
      </c>
      <c r="B10" s="22" t="s">
        <v>544</v>
      </c>
      <c r="F10" s="30" t="s">
        <v>271</v>
      </c>
      <c r="I10" s="87" t="str">
        <f>'Backroom - VE Tables NEW'!C15</f>
        <v>Stormwater / Flood Management</v>
      </c>
      <c r="K10" s="87" t="str">
        <f>'Backroom - VE Tables NEW'!C26</f>
        <v>Construction Activities</v>
      </c>
    </row>
    <row r="11" spans="1:14" x14ac:dyDescent="0.35">
      <c r="A11" t="s">
        <v>53</v>
      </c>
      <c r="B11" s="22" t="s">
        <v>54</v>
      </c>
      <c r="I11" s="87" t="str">
        <f>'Backroom - VE Tables NEW'!C16</f>
        <v>Uninhabited Buildings</v>
      </c>
    </row>
    <row r="12" spans="1:14" x14ac:dyDescent="0.35">
      <c r="I12" s="87" t="str">
        <f>'Backroom - VE Tables NEW'!C17</f>
        <v>Evacuation Structures</v>
      </c>
    </row>
    <row r="13" spans="1:14" x14ac:dyDescent="0.35">
      <c r="A13" t="s">
        <v>55</v>
      </c>
      <c r="B13" s="22" t="s">
        <v>545</v>
      </c>
      <c r="I13" s="87" t="s">
        <v>231</v>
      </c>
    </row>
    <row r="14" spans="1:14" x14ac:dyDescent="0.35">
      <c r="A14" t="s">
        <v>56</v>
      </c>
      <c r="B14" s="22" t="s">
        <v>57</v>
      </c>
    </row>
    <row r="16" spans="1:14" x14ac:dyDescent="0.35">
      <c r="A16" t="s">
        <v>58</v>
      </c>
      <c r="B16" s="22" t="s">
        <v>546</v>
      </c>
      <c r="F16" s="30" t="s">
        <v>271</v>
      </c>
    </row>
    <row r="17" spans="1:10" x14ac:dyDescent="0.35">
      <c r="A17" t="s">
        <v>59</v>
      </c>
      <c r="B17" s="22" t="s">
        <v>57</v>
      </c>
    </row>
    <row r="18" spans="1:10" x14ac:dyDescent="0.35">
      <c r="B18" s="22" t="s">
        <v>197</v>
      </c>
      <c r="G18" s="87" t="str">
        <f>IF('Backroom - question output calc'!K3&gt;0,G20,G19)</f>
        <v>No natural feature reliance was identified.</v>
      </c>
      <c r="H18" s="87" t="str">
        <f>IF('Backroom - question output calc'!K4&gt;0,H20,H19)</f>
        <v>No built feature reliance was identified.</v>
      </c>
      <c r="I18" s="87" t="str">
        <f>IF('Backroom - question output calc'!K5&gt;0,I20,I19)</f>
        <v>No operations or activities were identified.</v>
      </c>
    </row>
    <row r="19" spans="1:10" x14ac:dyDescent="0.35">
      <c r="G19" s="22" t="s">
        <v>167</v>
      </c>
      <c r="H19" t="s">
        <v>168</v>
      </c>
      <c r="I19" s="22" t="s">
        <v>169</v>
      </c>
    </row>
    <row r="20" spans="1:10" x14ac:dyDescent="0.35">
      <c r="G20" s="22" t="str">
        <f>'Backroom - report content'!K4</f>
        <v/>
      </c>
      <c r="H20" t="str">
        <f>'Backroom - report content'!R4</f>
        <v/>
      </c>
      <c r="I20" s="22" t="str">
        <f>'Backroom - report content'!Y4</f>
        <v/>
      </c>
      <c r="J20" t="s">
        <v>192</v>
      </c>
    </row>
    <row r="22" spans="1:10" ht="18" x14ac:dyDescent="0.35">
      <c r="A22" t="s">
        <v>60</v>
      </c>
      <c r="B22" s="92" t="s">
        <v>279</v>
      </c>
      <c r="C22" t="s">
        <v>529</v>
      </c>
    </row>
    <row r="23" spans="1:10" x14ac:dyDescent="0.35">
      <c r="A23">
        <v>2.1</v>
      </c>
      <c r="B23" s="87" t="s">
        <v>191</v>
      </c>
      <c r="C23" s="18" t="s">
        <v>459</v>
      </c>
      <c r="D23" t="s">
        <v>458</v>
      </c>
    </row>
    <row r="24" spans="1:10" x14ac:dyDescent="0.35">
      <c r="A24">
        <v>2.2000000000000002</v>
      </c>
      <c r="B24" s="22" t="s">
        <v>195</v>
      </c>
      <c r="G24" s="22" t="s">
        <v>271</v>
      </c>
    </row>
    <row r="25" spans="1:10" x14ac:dyDescent="0.35">
      <c r="B25" s="85" t="s">
        <v>61</v>
      </c>
      <c r="C25" s="18" t="str">
        <f>IF('Backroom - question output calc'!M10&gt;0,'Backroom - question input'!B24,"")</f>
        <v/>
      </c>
      <c r="D25" s="18"/>
      <c r="E25" s="18"/>
    </row>
    <row r="27" spans="1:10" x14ac:dyDescent="0.35">
      <c r="B27" s="22" t="s">
        <v>232</v>
      </c>
      <c r="C27" t="s">
        <v>438</v>
      </c>
    </row>
    <row r="28" spans="1:10" x14ac:dyDescent="0.35">
      <c r="A28">
        <v>2.2999999999999998</v>
      </c>
      <c r="B28" s="22" t="s">
        <v>385</v>
      </c>
    </row>
    <row r="29" spans="1:10" x14ac:dyDescent="0.35">
      <c r="A29">
        <v>2.4</v>
      </c>
      <c r="B29" s="22" t="s">
        <v>386</v>
      </c>
      <c r="C29" s="22"/>
    </row>
    <row r="30" spans="1:10" x14ac:dyDescent="0.35">
      <c r="A30">
        <v>2.5</v>
      </c>
      <c r="B30" s="22" t="s">
        <v>477</v>
      </c>
    </row>
    <row r="31" spans="1:10" x14ac:dyDescent="0.35">
      <c r="A31">
        <v>2.6</v>
      </c>
      <c r="B31" s="22" t="s">
        <v>388</v>
      </c>
    </row>
    <row r="32" spans="1:10" x14ac:dyDescent="0.35">
      <c r="A32">
        <v>2.7</v>
      </c>
      <c r="B32" s="22" t="s">
        <v>387</v>
      </c>
    </row>
    <row r="33" spans="1:10" ht="35.5" thickBot="1" x14ac:dyDescent="0.4">
      <c r="A33">
        <v>2.8</v>
      </c>
      <c r="B33" s="22" t="s">
        <v>478</v>
      </c>
      <c r="H33" s="124" t="s">
        <v>163</v>
      </c>
      <c r="I33" s="125" t="s">
        <v>63</v>
      </c>
      <c r="J33" s="304"/>
    </row>
    <row r="34" spans="1:10" ht="88.5" thickTop="1" thickBot="1" x14ac:dyDescent="0.4">
      <c r="B34" s="22" t="s">
        <v>233</v>
      </c>
      <c r="H34" s="127" t="s">
        <v>234</v>
      </c>
      <c r="I34" s="128" t="s">
        <v>547</v>
      </c>
      <c r="J34" s="305"/>
    </row>
    <row r="35" spans="1:10" ht="70.5" thickBot="1" x14ac:dyDescent="0.4">
      <c r="B35" s="87" t="str">
        <f>_xlfn.CONCAT(C35:E35)</f>
        <v xml:space="preserve">Based on the answers above, it appears your industry has elements potentially exposed to the following climate hazards: Tropical Cyclone.  Please review your answers above if this does not reflect your understanding. </v>
      </c>
      <c r="C35" t="s">
        <v>259</v>
      </c>
      <c r="D35" t="str">
        <f>'Backroom - report content'!AK4</f>
        <v xml:space="preserve">Tropical Cyclone. </v>
      </c>
      <c r="E35" t="s">
        <v>389</v>
      </c>
      <c r="H35" s="129" t="s">
        <v>235</v>
      </c>
      <c r="I35" s="128" t="s">
        <v>548</v>
      </c>
      <c r="J35" s="305"/>
    </row>
    <row r="36" spans="1:10" ht="315.5" thickBot="1" x14ac:dyDescent="0.4">
      <c r="B36" s="31" t="s">
        <v>468</v>
      </c>
      <c r="H36" s="130" t="s">
        <v>236</v>
      </c>
      <c r="I36" s="128" t="s">
        <v>549</v>
      </c>
      <c r="J36" s="305"/>
    </row>
    <row r="37" spans="1:10" ht="105.5" thickBot="1" x14ac:dyDescent="0.4">
      <c r="A37">
        <v>2.9</v>
      </c>
      <c r="B37" s="31" t="s">
        <v>460</v>
      </c>
      <c r="C37" s="49" t="s">
        <v>515</v>
      </c>
      <c r="H37" s="131" t="s">
        <v>237</v>
      </c>
      <c r="I37" s="128" t="s">
        <v>550</v>
      </c>
      <c r="J37" s="305"/>
    </row>
    <row r="38" spans="1:10" ht="192.5" x14ac:dyDescent="0.35">
      <c r="B38" s="31" t="s">
        <v>552</v>
      </c>
      <c r="H38" t="s">
        <v>238</v>
      </c>
      <c r="I38" s="164" t="s">
        <v>551</v>
      </c>
      <c r="J38" s="306"/>
    </row>
    <row r="39" spans="1:10" x14ac:dyDescent="0.35">
      <c r="B39" s="22" t="str">
        <f>B83</f>
        <v>Features</v>
      </c>
      <c r="C39" t="str">
        <f>C83</f>
        <v>Industry relevant element</v>
      </c>
      <c r="D39" t="str">
        <f>D82</f>
        <v>Coastal Inundation</v>
      </c>
      <c r="E39" t="str">
        <f>F82</f>
        <v>Extreme Rainfall</v>
      </c>
      <c r="F39" t="str">
        <f>H82</f>
        <v>Tropical Cyclone</v>
      </c>
      <c r="G39" s="22" t="str">
        <f>J82</f>
        <v>Drought</v>
      </c>
      <c r="H39" t="str">
        <f>L82</f>
        <v>Marine Heat Waves</v>
      </c>
      <c r="I39" s="22" t="str">
        <f>N82</f>
        <v>Ocean Acidification</v>
      </c>
      <c r="J39" t="str">
        <f>P82</f>
        <v>Extreme Temperature</v>
      </c>
    </row>
    <row r="40" spans="1:10" x14ac:dyDescent="0.35">
      <c r="B40" s="87" t="str" cm="1">
        <f t="array" ref="B40">_xlfn._xlws.FILTER('Backroom - question output calc'!A4:B26,'Backroom - question output calc'!E4:E26=1,"")</f>
        <v/>
      </c>
      <c r="C40" s="18"/>
    </row>
    <row r="41" spans="1:10" x14ac:dyDescent="0.35">
      <c r="B41" s="87"/>
      <c r="C41" s="18"/>
    </row>
    <row r="42" spans="1:10" x14ac:dyDescent="0.35">
      <c r="B42" s="87"/>
      <c r="C42" s="18"/>
    </row>
    <row r="43" spans="1:10" x14ac:dyDescent="0.35">
      <c r="B43" s="87"/>
      <c r="C43" s="18"/>
    </row>
    <row r="44" spans="1:10" x14ac:dyDescent="0.35">
      <c r="B44" s="87"/>
      <c r="C44" s="18"/>
    </row>
    <row r="45" spans="1:10" x14ac:dyDescent="0.35">
      <c r="B45" s="87"/>
      <c r="C45" s="18"/>
    </row>
    <row r="46" spans="1:10" x14ac:dyDescent="0.35">
      <c r="B46" s="87"/>
      <c r="C46" s="18"/>
    </row>
    <row r="47" spans="1:10" x14ac:dyDescent="0.35">
      <c r="B47" s="87"/>
      <c r="C47" s="18"/>
    </row>
    <row r="48" spans="1:10" x14ac:dyDescent="0.35">
      <c r="B48" s="87"/>
      <c r="C48" s="18"/>
    </row>
    <row r="49" spans="2:3" x14ac:dyDescent="0.35">
      <c r="B49" s="87"/>
      <c r="C49" s="18"/>
    </row>
    <row r="50" spans="2:3" x14ac:dyDescent="0.35">
      <c r="B50" s="87"/>
      <c r="C50" s="18"/>
    </row>
    <row r="51" spans="2:3" x14ac:dyDescent="0.35">
      <c r="B51" s="87"/>
      <c r="C51" s="18"/>
    </row>
    <row r="52" spans="2:3" x14ac:dyDescent="0.35">
      <c r="B52" s="87"/>
      <c r="C52" s="18"/>
    </row>
    <row r="53" spans="2:3" x14ac:dyDescent="0.35">
      <c r="B53" s="87"/>
      <c r="C53" s="18"/>
    </row>
    <row r="54" spans="2:3" x14ac:dyDescent="0.35">
      <c r="B54" s="87"/>
      <c r="C54" s="18"/>
    </row>
    <row r="55" spans="2:3" x14ac:dyDescent="0.35">
      <c r="B55" s="87"/>
      <c r="C55" s="18"/>
    </row>
    <row r="56" spans="2:3" x14ac:dyDescent="0.35">
      <c r="B56" s="87"/>
      <c r="C56" s="18"/>
    </row>
    <row r="57" spans="2:3" x14ac:dyDescent="0.35">
      <c r="B57" s="87"/>
      <c r="C57" s="18"/>
    </row>
    <row r="58" spans="2:3" x14ac:dyDescent="0.35">
      <c r="B58" s="87"/>
      <c r="C58" s="18"/>
    </row>
    <row r="59" spans="2:3" x14ac:dyDescent="0.35">
      <c r="B59" s="87"/>
      <c r="C59" s="18"/>
    </row>
    <row r="60" spans="2:3" x14ac:dyDescent="0.35">
      <c r="B60" s="87"/>
      <c r="C60" s="18"/>
    </row>
    <row r="61" spans="2:3" x14ac:dyDescent="0.35">
      <c r="B61" s="87"/>
      <c r="C61" s="18"/>
    </row>
    <row r="62" spans="2:3" x14ac:dyDescent="0.35">
      <c r="B62" s="87"/>
      <c r="C62" s="18"/>
    </row>
    <row r="74" spans="1:10" ht="409.5" x14ac:dyDescent="0.35">
      <c r="A74" t="s">
        <v>196</v>
      </c>
      <c r="B74" s="92" t="s">
        <v>280</v>
      </c>
      <c r="C74" s="30" t="s">
        <v>474</v>
      </c>
      <c r="H74" s="18" t="s">
        <v>416</v>
      </c>
    </row>
    <row r="75" spans="1:10" ht="36.5" thickBot="1" x14ac:dyDescent="0.4">
      <c r="A75">
        <v>3.1</v>
      </c>
      <c r="B75" s="22" t="s">
        <v>276</v>
      </c>
      <c r="C75" t="s">
        <v>193</v>
      </c>
      <c r="H75" s="119" t="s">
        <v>154</v>
      </c>
      <c r="I75" s="204" t="s">
        <v>63</v>
      </c>
      <c r="J75" s="205"/>
    </row>
    <row r="76" spans="1:10" ht="39.9" customHeight="1" thickTop="1" thickBot="1" x14ac:dyDescent="0.4">
      <c r="A76">
        <v>3.2</v>
      </c>
      <c r="B76" s="31" t="s">
        <v>543</v>
      </c>
      <c r="H76" s="120" t="s">
        <v>234</v>
      </c>
      <c r="I76" s="207" t="s">
        <v>156</v>
      </c>
      <c r="J76" s="206"/>
    </row>
    <row r="77" spans="1:10" ht="18" customHeight="1" thickBot="1" x14ac:dyDescent="0.4">
      <c r="H77" s="121" t="s">
        <v>235</v>
      </c>
      <c r="I77" s="207" t="s">
        <v>158</v>
      </c>
      <c r="J77" s="206"/>
    </row>
    <row r="78" spans="1:10" ht="18" customHeight="1" thickBot="1" x14ac:dyDescent="0.4">
      <c r="H78" s="122" t="s">
        <v>236</v>
      </c>
      <c r="I78" s="208" t="s">
        <v>160</v>
      </c>
      <c r="J78" s="206"/>
    </row>
    <row r="79" spans="1:10" ht="18" customHeight="1" thickBot="1" x14ac:dyDescent="0.4">
      <c r="H79" s="123" t="s">
        <v>237</v>
      </c>
      <c r="I79" s="207" t="s">
        <v>162</v>
      </c>
      <c r="J79" s="206"/>
    </row>
    <row r="80" spans="1:10" x14ac:dyDescent="0.35">
      <c r="H80" t="s">
        <v>238</v>
      </c>
      <c r="I80" s="22" t="s">
        <v>275</v>
      </c>
    </row>
    <row r="82" spans="2:18" x14ac:dyDescent="0.35">
      <c r="D82" t="str">
        <f>RIGHT(VEValuesFIXED[[#Headers],[V - Coastal Inundation]],LEN(VEValuesFIXED[[#Headers],[V - Coastal Inundation]])-4)</f>
        <v>Coastal Inundation</v>
      </c>
      <c r="F82" s="22" t="str">
        <f>RIGHT(VEValuesFIXED[[#Headers],[V - Extreme Rainfall]],LEN(VEValuesFIXED[[#Headers],[V - Extreme Rainfall]])-4)</f>
        <v>Extreme Rainfall</v>
      </c>
      <c r="H82" s="22" t="str">
        <f>RIGHT(VEValuesFIXED[[#Headers],[V - Tropical Cyclone]],LEN(VEValuesFIXED[[#Headers],[V - Tropical Cyclone]])-4)</f>
        <v>Tropical Cyclone</v>
      </c>
      <c r="J82" s="22" t="str">
        <f>RIGHT(VEValuesFIXED[[#Headers],[V - Drought]],LEN(VEValuesFIXED[[#Headers],[V - Drought]])-4)</f>
        <v>Drought</v>
      </c>
      <c r="L82" t="str">
        <f>RIGHT(VEValuesFIXED[[#Headers],[V - Marine Heat Waves]],LEN(VEValuesFIXED[[#Headers],[V - Marine Heat Waves]])-4)</f>
        <v>Marine Heat Waves</v>
      </c>
      <c r="N82" t="str">
        <f>RIGHT(VEValuesFIXED[[#Headers],[V - Ocean Acidification]],LEN(VEValuesFIXED[[#Headers],[V - Ocean Acidification]])-4)</f>
        <v>Ocean Acidification</v>
      </c>
      <c r="P82" t="str">
        <f>RIGHT(VEValuesFIXED[[#Headers],[V - Extreme Temperature]],LEN(VEValuesFIXED[[#Headers],[V - Extreme Temperature]])-4)</f>
        <v>Extreme Temperature</v>
      </c>
    </row>
    <row r="83" spans="2:18" x14ac:dyDescent="0.35">
      <c r="B83" s="22" t="s">
        <v>89</v>
      </c>
      <c r="C83" t="s">
        <v>198</v>
      </c>
      <c r="D83" t="s">
        <v>194</v>
      </c>
      <c r="E83" t="s">
        <v>165</v>
      </c>
      <c r="F83" t="s">
        <v>194</v>
      </c>
      <c r="G83" t="str">
        <f>E83</f>
        <v>Update?</v>
      </c>
      <c r="H83" t="s">
        <v>194</v>
      </c>
      <c r="I83" t="str">
        <f>G83</f>
        <v>Update?</v>
      </c>
      <c r="J83" t="s">
        <v>194</v>
      </c>
      <c r="K83" t="str">
        <f>E83</f>
        <v>Update?</v>
      </c>
      <c r="L83" t="s">
        <v>194</v>
      </c>
      <c r="M83" t="str">
        <f>E83</f>
        <v>Update?</v>
      </c>
      <c r="N83" t="s">
        <v>194</v>
      </c>
      <c r="O83" t="str">
        <f>E83</f>
        <v>Update?</v>
      </c>
      <c r="P83" t="str">
        <f>N83</f>
        <v>Initial</v>
      </c>
      <c r="Q83" t="str">
        <f>O83</f>
        <v>Update?</v>
      </c>
      <c r="R83" t="s">
        <v>297</v>
      </c>
    </row>
    <row r="84" spans="2:18" x14ac:dyDescent="0.35">
      <c r="B84" s="18" t="str" cm="1">
        <f t="array" ref="B84">_xlfn._xlws.FILTER('Backroom - question output calc'!A4:B26,'Backroom - question output calc'!E4:E26=1,"")</f>
        <v/>
      </c>
      <c r="C84" s="18"/>
      <c r="D84" t="str">
        <f>IF(C84="","",INDEX(VEValuesFIXED[V - Coastal Inundation],MATCH('Backroom - question input'!C84,VEValuesFIXED[Elements at Risk],0),1))</f>
        <v/>
      </c>
      <c r="F84" t="str">
        <f>IF(C84="","",INDEX(VEValuesFIXED[V - Extreme Rainfall],MATCH(C84,VEValuesFIXED[Elements at Risk],0),1))</f>
        <v/>
      </c>
      <c r="H84" t="str">
        <f>IF(C84="","",INDEX(VEValuesFIXED[V - Tropical Cyclone],MATCH(C84,VEValuesFIXED[Elements at Risk],0),1))</f>
        <v/>
      </c>
      <c r="J84" t="str">
        <f>IF(C84="","",INDEX(VEValuesFIXED[V - Drought],MATCH(C84,VEValuesFIXED[Elements at Risk],0),1))</f>
        <v/>
      </c>
      <c r="L84" t="str">
        <f>IF(C84="","",INDEX(VEValuesFIXED[V - Marine Heat Waves],MATCH(C84,VEValuesFIXED[Elements at Risk],0),1))</f>
        <v/>
      </c>
      <c r="N84" t="str">
        <f>IF(C84="","",INDEX(VEValuesFIXED[V - Ocean Acidification],MATCH(C84,VEValuesFIXED[Elements at Risk],0),1))</f>
        <v/>
      </c>
      <c r="P84" t="str">
        <f>IF(C84="","",INDEX(VEValuesFIXED[V - Extreme Temperature],MATCH(C84,VEValuesFIXED[Elements at Risk],0),1))</f>
        <v/>
      </c>
    </row>
    <row r="85" spans="2:18" x14ac:dyDescent="0.35">
      <c r="B85" s="18"/>
      <c r="C85" s="18"/>
      <c r="D85" t="str">
        <f>IF(C85="","",INDEX(VEValuesFIXED[V - Coastal Inundation],MATCH('Backroom - question input'!C85,VEValuesFIXED[Elements at Risk],0),1))</f>
        <v/>
      </c>
      <c r="F85" t="str">
        <f>IF(C85="","",INDEX(VEValuesFIXED[V - Extreme Rainfall],MATCH(C85,VEValuesFIXED[Elements at Risk],0),1))</f>
        <v/>
      </c>
      <c r="H85" t="str">
        <f>IF(C85="","",INDEX(VEValuesFIXED[V - Tropical Cyclone],MATCH(C85,VEValuesFIXED[Elements at Risk],0),1))</f>
        <v/>
      </c>
      <c r="J85" t="str">
        <f>IF(C85="","",INDEX(VEValuesFIXED[V - Drought],MATCH(C85,VEValuesFIXED[Elements at Risk],0),1))</f>
        <v/>
      </c>
      <c r="L85" t="str">
        <f>IF(C85="","",INDEX(VEValuesFIXED[V - Marine Heat Waves],MATCH(C85,VEValuesFIXED[Elements at Risk],0),1))</f>
        <v/>
      </c>
      <c r="N85" t="str">
        <f>IF(C85="","",INDEX(VEValuesFIXED[V - Ocean Acidification],MATCH(C85,VEValuesFIXED[Elements at Risk],0),1))</f>
        <v/>
      </c>
      <c r="P85" t="str">
        <f>IF(C85="","",INDEX(VEValuesFIXED[V - Extreme Temperature],MATCH(C85,VEValuesFIXED[Elements at Risk],0),1))</f>
        <v/>
      </c>
    </row>
    <row r="86" spans="2:18" x14ac:dyDescent="0.35">
      <c r="B86" s="18"/>
      <c r="C86" s="18"/>
      <c r="D86" t="str">
        <f>IF(C86="","",INDEX(VEValuesFIXED[V - Coastal Inundation],MATCH('Backroom - question input'!C86,VEValuesFIXED[Elements at Risk],0),1))</f>
        <v/>
      </c>
      <c r="F86" t="str">
        <f>IF(C86="","",INDEX(VEValuesFIXED[V - Extreme Rainfall],MATCH(C86,VEValuesFIXED[Elements at Risk],0),1))</f>
        <v/>
      </c>
      <c r="H86" t="str">
        <f>IF(C86="","",INDEX(VEValuesFIXED[V - Tropical Cyclone],MATCH(C86,VEValuesFIXED[Elements at Risk],0),1))</f>
        <v/>
      </c>
      <c r="J86" t="str">
        <f>IF(C86="","",INDEX(VEValuesFIXED[V - Drought],MATCH(C86,VEValuesFIXED[Elements at Risk],0),1))</f>
        <v/>
      </c>
      <c r="L86" t="str">
        <f>IF(C86="","",INDEX(VEValuesFIXED[V - Marine Heat Waves],MATCH(C86,VEValuesFIXED[Elements at Risk],0),1))</f>
        <v/>
      </c>
      <c r="N86" t="str">
        <f>IF(C86="","",INDEX(VEValuesFIXED[V - Ocean Acidification],MATCH(C86,VEValuesFIXED[Elements at Risk],0),1))</f>
        <v/>
      </c>
      <c r="P86" t="str">
        <f>IF(C86="","",INDEX(VEValuesFIXED[V - Extreme Temperature],MATCH(C86,VEValuesFIXED[Elements at Risk],0),1))</f>
        <v/>
      </c>
    </row>
    <row r="87" spans="2:18" x14ac:dyDescent="0.35">
      <c r="B87" s="18"/>
      <c r="C87" s="18"/>
      <c r="D87" t="str">
        <f>IF(C87="","",INDEX(VEValuesFIXED[V - Coastal Inundation],MATCH('Backroom - question input'!C87,VEValuesFIXED[Elements at Risk],0),1))</f>
        <v/>
      </c>
      <c r="F87" t="str">
        <f>IF(C87="","",INDEX(VEValuesFIXED[V - Extreme Rainfall],MATCH(C87,VEValuesFIXED[Elements at Risk],0),1))</f>
        <v/>
      </c>
      <c r="H87" t="str">
        <f>IF(C87="","",INDEX(VEValuesFIXED[V - Tropical Cyclone],MATCH(C87,VEValuesFIXED[Elements at Risk],0),1))</f>
        <v/>
      </c>
      <c r="J87" t="str">
        <f>IF(C87="","",INDEX(VEValuesFIXED[V - Drought],MATCH(C87,VEValuesFIXED[Elements at Risk],0),1))</f>
        <v/>
      </c>
      <c r="L87" t="str">
        <f>IF(C87="","",INDEX(VEValuesFIXED[V - Marine Heat Waves],MATCH(C87,VEValuesFIXED[Elements at Risk],0),1))</f>
        <v/>
      </c>
      <c r="N87" t="str">
        <f>IF(C87="","",INDEX(VEValuesFIXED[V - Ocean Acidification],MATCH(C87,VEValuesFIXED[Elements at Risk],0),1))</f>
        <v/>
      </c>
      <c r="P87" t="str">
        <f>IF(C87="","",INDEX(VEValuesFIXED[V - Extreme Temperature],MATCH(C87,VEValuesFIXED[Elements at Risk],0),1))</f>
        <v/>
      </c>
    </row>
    <row r="88" spans="2:18" x14ac:dyDescent="0.35">
      <c r="B88" s="18"/>
      <c r="C88" s="18"/>
      <c r="D88" t="str">
        <f>IF(C88="","",INDEX(VEValuesFIXED[V - Coastal Inundation],MATCH('Backroom - question input'!C88,VEValuesFIXED[Elements at Risk],0),1))</f>
        <v/>
      </c>
      <c r="F88" t="str">
        <f>IF(C88="","",INDEX(VEValuesFIXED[V - Extreme Rainfall],MATCH(C88,VEValuesFIXED[Elements at Risk],0),1))</f>
        <v/>
      </c>
      <c r="H88" t="str">
        <f>IF(C88="","",INDEX(VEValuesFIXED[V - Tropical Cyclone],MATCH(C88,VEValuesFIXED[Elements at Risk],0),1))</f>
        <v/>
      </c>
      <c r="J88" t="str">
        <f>IF(C88="","",INDEX(VEValuesFIXED[V - Drought],MATCH(C88,VEValuesFIXED[Elements at Risk],0),1))</f>
        <v/>
      </c>
      <c r="L88" t="str">
        <f>IF(C88="","",INDEX(VEValuesFIXED[V - Marine Heat Waves],MATCH(C88,VEValuesFIXED[Elements at Risk],0),1))</f>
        <v/>
      </c>
      <c r="N88" t="str">
        <f>IF(C88="","",INDEX(VEValuesFIXED[V - Ocean Acidification],MATCH(C88,VEValuesFIXED[Elements at Risk],0),1))</f>
        <v/>
      </c>
      <c r="P88" t="str">
        <f>IF(C88="","",INDEX(VEValuesFIXED[V - Extreme Temperature],MATCH(C88,VEValuesFIXED[Elements at Risk],0),1))</f>
        <v/>
      </c>
    </row>
    <row r="89" spans="2:18" x14ac:dyDescent="0.35">
      <c r="B89" s="18"/>
      <c r="C89" s="18"/>
      <c r="D89" t="str">
        <f>IF(C89="","",INDEX(VEValuesFIXED[V - Coastal Inundation],MATCH('Backroom - question input'!C89,VEValuesFIXED[Elements at Risk],0),1))</f>
        <v/>
      </c>
      <c r="F89" t="str">
        <f>IF(C89="","",INDEX(VEValuesFIXED[V - Extreme Rainfall],MATCH(C89,VEValuesFIXED[Elements at Risk],0),1))</f>
        <v/>
      </c>
      <c r="H89" t="str">
        <f>IF(C89="","",INDEX(VEValuesFIXED[V - Tropical Cyclone],MATCH(C89,VEValuesFIXED[Elements at Risk],0),1))</f>
        <v/>
      </c>
      <c r="J89" t="str">
        <f>IF(C89="","",INDEX(VEValuesFIXED[V - Drought],MATCH(C89,VEValuesFIXED[Elements at Risk],0),1))</f>
        <v/>
      </c>
      <c r="L89" t="str">
        <f>IF(C89="","",INDEX(VEValuesFIXED[V - Marine Heat Waves],MATCH(C89,VEValuesFIXED[Elements at Risk],0),1))</f>
        <v/>
      </c>
      <c r="N89" t="str">
        <f>IF(C89="","",INDEX(VEValuesFIXED[V - Ocean Acidification],MATCH(C89,VEValuesFIXED[Elements at Risk],0),1))</f>
        <v/>
      </c>
      <c r="P89" t="str">
        <f>IF(C89="","",INDEX(VEValuesFIXED[V - Extreme Temperature],MATCH(C89,VEValuesFIXED[Elements at Risk],0),1))</f>
        <v/>
      </c>
    </row>
    <row r="90" spans="2:18" x14ac:dyDescent="0.35">
      <c r="B90" s="18"/>
      <c r="C90" s="18"/>
      <c r="D90" t="str">
        <f>IF(C90="","",INDEX(VEValuesFIXED[V - Coastal Inundation],MATCH('Backroom - question input'!C90,VEValuesFIXED[Elements at Risk],0),1))</f>
        <v/>
      </c>
      <c r="F90" t="str">
        <f>IF(C90="","",INDEX(VEValuesFIXED[V - Extreme Rainfall],MATCH(C90,VEValuesFIXED[Elements at Risk],0),1))</f>
        <v/>
      </c>
      <c r="H90" t="str">
        <f>IF(C90="","",INDEX(VEValuesFIXED[V - Tropical Cyclone],MATCH(C90,VEValuesFIXED[Elements at Risk],0),1))</f>
        <v/>
      </c>
      <c r="J90" t="str">
        <f>IF(C90="","",INDEX(VEValuesFIXED[V - Drought],MATCH(C90,VEValuesFIXED[Elements at Risk],0),1))</f>
        <v/>
      </c>
      <c r="L90" t="str">
        <f>IF(C90="","",INDEX(VEValuesFIXED[V - Marine Heat Waves],MATCH(C90,VEValuesFIXED[Elements at Risk],0),1))</f>
        <v/>
      </c>
      <c r="N90" t="str">
        <f>IF(C90="","",INDEX(VEValuesFIXED[V - Ocean Acidification],MATCH(C90,VEValuesFIXED[Elements at Risk],0),1))</f>
        <v/>
      </c>
      <c r="P90" t="str">
        <f>IF(C90="","",INDEX(VEValuesFIXED[V - Extreme Temperature],MATCH(C90,VEValuesFIXED[Elements at Risk],0),1))</f>
        <v/>
      </c>
    </row>
    <row r="91" spans="2:18" x14ac:dyDescent="0.35">
      <c r="B91" s="18"/>
      <c r="C91" s="18"/>
      <c r="D91" t="str">
        <f>IF(C91="","",INDEX(VEValuesFIXED[V - Coastal Inundation],MATCH('Backroom - question input'!C91,VEValuesFIXED[Elements at Risk],0),1))</f>
        <v/>
      </c>
      <c r="F91" t="str">
        <f>IF(C91="","",INDEX(VEValuesFIXED[V - Extreme Rainfall],MATCH(C91,VEValuesFIXED[Elements at Risk],0),1))</f>
        <v/>
      </c>
      <c r="H91" t="str">
        <f>IF(C91="","",INDEX(VEValuesFIXED[V - Tropical Cyclone],MATCH(C91,VEValuesFIXED[Elements at Risk],0),1))</f>
        <v/>
      </c>
      <c r="J91" t="str">
        <f>IF(C91="","",INDEX(VEValuesFIXED[V - Drought],MATCH(C91,VEValuesFIXED[Elements at Risk],0),1))</f>
        <v/>
      </c>
      <c r="L91" t="str">
        <f>IF(C91="","",INDEX(VEValuesFIXED[V - Marine Heat Waves],MATCH(C91,VEValuesFIXED[Elements at Risk],0),1))</f>
        <v/>
      </c>
      <c r="N91" t="str">
        <f>IF(C91="","",INDEX(VEValuesFIXED[V - Ocean Acidification],MATCH(C91,VEValuesFIXED[Elements at Risk],0),1))</f>
        <v/>
      </c>
      <c r="P91" t="str">
        <f>IF(C91="","",INDEX(VEValuesFIXED[V - Extreme Temperature],MATCH(C91,VEValuesFIXED[Elements at Risk],0),1))</f>
        <v/>
      </c>
    </row>
    <row r="92" spans="2:18" x14ac:dyDescent="0.35">
      <c r="B92" s="18"/>
      <c r="C92" s="18"/>
      <c r="D92" t="str">
        <f>IF(C92="","",INDEX(VEValuesFIXED[V - Coastal Inundation],MATCH('Backroom - question input'!C92,VEValuesFIXED[Elements at Risk],0),1))</f>
        <v/>
      </c>
      <c r="F92" t="str">
        <f>IF(C92="","",INDEX(VEValuesFIXED[V - Extreme Rainfall],MATCH(C92,VEValuesFIXED[Elements at Risk],0),1))</f>
        <v/>
      </c>
      <c r="H92" t="str">
        <f>IF(C92="","",INDEX(VEValuesFIXED[V - Tropical Cyclone],MATCH(C92,VEValuesFIXED[Elements at Risk],0),1))</f>
        <v/>
      </c>
      <c r="J92" t="str">
        <f>IF(C92="","",INDEX(VEValuesFIXED[V - Drought],MATCH(C92,VEValuesFIXED[Elements at Risk],0),1))</f>
        <v/>
      </c>
      <c r="L92" t="str">
        <f>IF(C92="","",INDEX(VEValuesFIXED[V - Marine Heat Waves],MATCH(C92,VEValuesFIXED[Elements at Risk],0),1))</f>
        <v/>
      </c>
      <c r="N92" t="str">
        <f>IF(C92="","",INDEX(VEValuesFIXED[V - Ocean Acidification],MATCH(C92,VEValuesFIXED[Elements at Risk],0),1))</f>
        <v/>
      </c>
      <c r="P92" t="str">
        <f>IF(C92="","",INDEX(VEValuesFIXED[V - Extreme Temperature],MATCH(C92,VEValuesFIXED[Elements at Risk],0),1))</f>
        <v/>
      </c>
    </row>
    <row r="93" spans="2:18" x14ac:dyDescent="0.35">
      <c r="B93" s="18"/>
      <c r="C93" s="18"/>
      <c r="D93" t="str">
        <f>IF(C93="","",INDEX(VEValuesFIXED[V - Coastal Inundation],MATCH('Backroom - question input'!C93,VEValuesFIXED[Elements at Risk],0),1))</f>
        <v/>
      </c>
      <c r="F93" t="str">
        <f>IF(C93="","",INDEX(VEValuesFIXED[V - Extreme Rainfall],MATCH(C93,VEValuesFIXED[Elements at Risk],0),1))</f>
        <v/>
      </c>
      <c r="H93" t="str">
        <f>IF(C93="","",INDEX(VEValuesFIXED[V - Tropical Cyclone],MATCH(C93,VEValuesFIXED[Elements at Risk],0),1))</f>
        <v/>
      </c>
      <c r="J93" t="str">
        <f>IF(C93="","",INDEX(VEValuesFIXED[V - Drought],MATCH(C93,VEValuesFIXED[Elements at Risk],0),1))</f>
        <v/>
      </c>
      <c r="L93" t="str">
        <f>IF(C93="","",INDEX(VEValuesFIXED[V - Marine Heat Waves],MATCH(C93,VEValuesFIXED[Elements at Risk],0),1))</f>
        <v/>
      </c>
      <c r="N93" t="str">
        <f>IF(C93="","",INDEX(VEValuesFIXED[V - Ocean Acidification],MATCH(C93,VEValuesFIXED[Elements at Risk],0),1))</f>
        <v/>
      </c>
      <c r="P93" t="str">
        <f>IF(C93="","",INDEX(VEValuesFIXED[V - Extreme Temperature],MATCH(C93,VEValuesFIXED[Elements at Risk],0),1))</f>
        <v/>
      </c>
    </row>
    <row r="94" spans="2:18" x14ac:dyDescent="0.35">
      <c r="B94" s="18"/>
      <c r="C94" s="18"/>
      <c r="D94" t="str">
        <f>IF(C94="","",INDEX(VEValuesFIXED[V - Coastal Inundation],MATCH('Backroom - question input'!C94,VEValuesFIXED[Elements at Risk],0),1))</f>
        <v/>
      </c>
      <c r="F94" t="str">
        <f>IF(C94="","",INDEX(VEValuesFIXED[V - Extreme Rainfall],MATCH(C94,VEValuesFIXED[Elements at Risk],0),1))</f>
        <v/>
      </c>
      <c r="H94" t="str">
        <f>IF(C94="","",INDEX(VEValuesFIXED[V - Tropical Cyclone],MATCH(C94,VEValuesFIXED[Elements at Risk],0),1))</f>
        <v/>
      </c>
      <c r="J94" t="str">
        <f>IF(C94="","",INDEX(VEValuesFIXED[V - Drought],MATCH(C94,VEValuesFIXED[Elements at Risk],0),1))</f>
        <v/>
      </c>
      <c r="L94" t="str">
        <f>IF(C94="","",INDEX(VEValuesFIXED[V - Marine Heat Waves],MATCH(C94,VEValuesFIXED[Elements at Risk],0),1))</f>
        <v/>
      </c>
      <c r="N94" t="str">
        <f>IF(C94="","",INDEX(VEValuesFIXED[V - Ocean Acidification],MATCH(C94,VEValuesFIXED[Elements at Risk],0),1))</f>
        <v/>
      </c>
      <c r="P94" t="str">
        <f>IF(C94="","",INDEX(VEValuesFIXED[V - Extreme Temperature],MATCH(C94,VEValuesFIXED[Elements at Risk],0),1))</f>
        <v/>
      </c>
    </row>
    <row r="95" spans="2:18" x14ac:dyDescent="0.35">
      <c r="B95" s="18"/>
      <c r="C95" s="18"/>
      <c r="D95" t="str">
        <f>IF(C95="","",INDEX(VEValuesFIXED[V - Coastal Inundation],MATCH('Backroom - question input'!C95,VEValuesFIXED[Elements at Risk],0),1))</f>
        <v/>
      </c>
      <c r="F95" t="str">
        <f>IF(C95="","",INDEX(VEValuesFIXED[V - Extreme Rainfall],MATCH(C95,VEValuesFIXED[Elements at Risk],0),1))</f>
        <v/>
      </c>
      <c r="H95" t="str">
        <f>IF(C95="","",INDEX(VEValuesFIXED[V - Tropical Cyclone],MATCH(C95,VEValuesFIXED[Elements at Risk],0),1))</f>
        <v/>
      </c>
      <c r="J95" t="str">
        <f>IF(C95="","",INDEX(VEValuesFIXED[V - Drought],MATCH(C95,VEValuesFIXED[Elements at Risk],0),1))</f>
        <v/>
      </c>
      <c r="L95" t="str">
        <f>IF(C95="","",INDEX(VEValuesFIXED[V - Marine Heat Waves],MATCH(C95,VEValuesFIXED[Elements at Risk],0),1))</f>
        <v/>
      </c>
      <c r="N95" t="str">
        <f>IF(C95="","",INDEX(VEValuesFIXED[V - Ocean Acidification],MATCH(C95,VEValuesFIXED[Elements at Risk],0),1))</f>
        <v/>
      </c>
      <c r="P95" t="str">
        <f>IF(C95="","",INDEX(VEValuesFIXED[V - Extreme Temperature],MATCH(C95,VEValuesFIXED[Elements at Risk],0),1))</f>
        <v/>
      </c>
    </row>
    <row r="96" spans="2:18" x14ac:dyDescent="0.35">
      <c r="B96" s="18"/>
      <c r="C96" s="18"/>
      <c r="D96" t="str">
        <f>IF(C96="","",INDEX(VEValuesFIXED[V - Coastal Inundation],MATCH('Backroom - question input'!C96,VEValuesFIXED[Elements at Risk],0),1))</f>
        <v/>
      </c>
      <c r="F96" t="str">
        <f>IF(C96="","",INDEX(VEValuesFIXED[V - Extreme Rainfall],MATCH(C96,VEValuesFIXED[Elements at Risk],0),1))</f>
        <v/>
      </c>
      <c r="H96" t="str">
        <f>IF(C96="","",INDEX(VEValuesFIXED[V - Tropical Cyclone],MATCH(C96,VEValuesFIXED[Elements at Risk],0),1))</f>
        <v/>
      </c>
      <c r="J96" t="str">
        <f>IF(C96="","",INDEX(VEValuesFIXED[V - Drought],MATCH(C96,VEValuesFIXED[Elements at Risk],0),1))</f>
        <v/>
      </c>
      <c r="L96" t="str">
        <f>IF(C96="","",INDEX(VEValuesFIXED[V - Marine Heat Waves],MATCH(C96,VEValuesFIXED[Elements at Risk],0),1))</f>
        <v/>
      </c>
      <c r="N96" t="str">
        <f>IF(C96="","",INDEX(VEValuesFIXED[V - Ocean Acidification],MATCH(C96,VEValuesFIXED[Elements at Risk],0),1))</f>
        <v/>
      </c>
      <c r="P96" t="str">
        <f>IF(C96="","",INDEX(VEValuesFIXED[V - Extreme Temperature],MATCH(C96,VEValuesFIXED[Elements at Risk],0),1))</f>
        <v/>
      </c>
    </row>
    <row r="97" spans="2:16" x14ac:dyDescent="0.35">
      <c r="B97" s="18"/>
      <c r="C97" s="18"/>
      <c r="D97" t="str">
        <f>IF(C97="","",INDEX(VEValuesFIXED[V - Coastal Inundation],MATCH('Backroom - question input'!C97,VEValuesFIXED[Elements at Risk],0),1))</f>
        <v/>
      </c>
      <c r="F97" t="str">
        <f>IF(C97="","",INDEX(VEValuesFIXED[V - Extreme Rainfall],MATCH(C97,VEValuesFIXED[Elements at Risk],0),1))</f>
        <v/>
      </c>
      <c r="H97" t="str">
        <f>IF(C97="","",INDEX(VEValuesFIXED[V - Tropical Cyclone],MATCH(C97,VEValuesFIXED[Elements at Risk],0),1))</f>
        <v/>
      </c>
      <c r="J97" t="str">
        <f>IF(C97="","",INDEX(VEValuesFIXED[V - Drought],MATCH(C97,VEValuesFIXED[Elements at Risk],0),1))</f>
        <v/>
      </c>
      <c r="L97" t="str">
        <f>IF(C97="","",INDEX(VEValuesFIXED[V - Marine Heat Waves],MATCH(C97,VEValuesFIXED[Elements at Risk],0),1))</f>
        <v/>
      </c>
      <c r="N97" t="str">
        <f>IF(C97="","",INDEX(VEValuesFIXED[V - Ocean Acidification],MATCH(C97,VEValuesFIXED[Elements at Risk],0),1))</f>
        <v/>
      </c>
      <c r="P97" t="str">
        <f>IF(C97="","",INDEX(VEValuesFIXED[V - Extreme Temperature],MATCH(C97,VEValuesFIXED[Elements at Risk],0),1))</f>
        <v/>
      </c>
    </row>
    <row r="98" spans="2:16" x14ac:dyDescent="0.35">
      <c r="B98" s="18"/>
      <c r="C98" s="18"/>
      <c r="D98" t="str">
        <f>IF(C98="","",INDEX(VEValuesFIXED[V - Coastal Inundation],MATCH('Backroom - question input'!C98,VEValuesFIXED[Elements at Risk],0),1))</f>
        <v/>
      </c>
      <c r="F98" t="str">
        <f>IF(C98="","",INDEX(VEValuesFIXED[V - Extreme Rainfall],MATCH(C98,VEValuesFIXED[Elements at Risk],0),1))</f>
        <v/>
      </c>
      <c r="H98" t="str">
        <f>IF(C98="","",INDEX(VEValuesFIXED[V - Tropical Cyclone],MATCH(C98,VEValuesFIXED[Elements at Risk],0),1))</f>
        <v/>
      </c>
      <c r="J98" t="str">
        <f>IF(C98="","",INDEX(VEValuesFIXED[V - Drought],MATCH(C98,VEValuesFIXED[Elements at Risk],0),1))</f>
        <v/>
      </c>
      <c r="L98" t="str">
        <f>IF(C98="","",INDEX(VEValuesFIXED[V - Marine Heat Waves],MATCH(C98,VEValuesFIXED[Elements at Risk],0),1))</f>
        <v/>
      </c>
      <c r="N98" t="str">
        <f>IF(C98="","",INDEX(VEValuesFIXED[V - Ocean Acidification],MATCH(C98,VEValuesFIXED[Elements at Risk],0),1))</f>
        <v/>
      </c>
      <c r="P98" t="str">
        <f>IF(C98="","",INDEX(VEValuesFIXED[V - Extreme Temperature],MATCH(C98,VEValuesFIXED[Elements at Risk],0),1))</f>
        <v/>
      </c>
    </row>
    <row r="99" spans="2:16" x14ac:dyDescent="0.35">
      <c r="B99" s="18"/>
      <c r="C99" s="18"/>
      <c r="D99" t="str">
        <f>IF(C99="","",INDEX(VEValuesFIXED[V - Coastal Inundation],MATCH('Backroom - question input'!C99,VEValuesFIXED[Elements at Risk],0),1))</f>
        <v/>
      </c>
      <c r="F99" t="str">
        <f>IF(C99="","",INDEX(VEValuesFIXED[V - Extreme Rainfall],MATCH(C99,VEValuesFIXED[Elements at Risk],0),1))</f>
        <v/>
      </c>
      <c r="H99" t="str">
        <f>IF(C99="","",INDEX(VEValuesFIXED[V - Tropical Cyclone],MATCH(C99,VEValuesFIXED[Elements at Risk],0),1))</f>
        <v/>
      </c>
      <c r="J99" t="str">
        <f>IF(C99="","",INDEX(VEValuesFIXED[V - Drought],MATCH(C99,VEValuesFIXED[Elements at Risk],0),1))</f>
        <v/>
      </c>
      <c r="L99" t="str">
        <f>IF(C99="","",INDEX(VEValuesFIXED[V - Marine Heat Waves],MATCH(C99,VEValuesFIXED[Elements at Risk],0),1))</f>
        <v/>
      </c>
      <c r="N99" t="str">
        <f>IF(C99="","",INDEX(VEValuesFIXED[V - Ocean Acidification],MATCH(C99,VEValuesFIXED[Elements at Risk],0),1))</f>
        <v/>
      </c>
      <c r="P99" t="str">
        <f>IF(C99="","",INDEX(VEValuesFIXED[V - Extreme Temperature],MATCH(C99,VEValuesFIXED[Elements at Risk],0),1))</f>
        <v/>
      </c>
    </row>
    <row r="100" spans="2:16" x14ac:dyDescent="0.35">
      <c r="B100" s="18"/>
      <c r="C100" s="18"/>
      <c r="D100" t="str">
        <f>IF(C100="","",INDEX(VEValuesFIXED[V - Coastal Inundation],MATCH('Backroom - question input'!C100,VEValuesFIXED[Elements at Risk],0),1))</f>
        <v/>
      </c>
      <c r="F100" t="str">
        <f>IF(C100="","",INDEX(VEValuesFIXED[V - Extreme Rainfall],MATCH(C100,VEValuesFIXED[Elements at Risk],0),1))</f>
        <v/>
      </c>
      <c r="H100" t="str">
        <f>IF(C100="","",INDEX(VEValuesFIXED[V - Tropical Cyclone],MATCH(C100,VEValuesFIXED[Elements at Risk],0),1))</f>
        <v/>
      </c>
      <c r="J100" t="str">
        <f>IF(C100="","",INDEX(VEValuesFIXED[V - Drought],MATCH(C100,VEValuesFIXED[Elements at Risk],0),1))</f>
        <v/>
      </c>
      <c r="L100" t="str">
        <f>IF(C100="","",INDEX(VEValuesFIXED[V - Marine Heat Waves],MATCH(C100,VEValuesFIXED[Elements at Risk],0),1))</f>
        <v/>
      </c>
      <c r="N100" t="str">
        <f>IF(C100="","",INDEX(VEValuesFIXED[V - Ocean Acidification],MATCH(C100,VEValuesFIXED[Elements at Risk],0),1))</f>
        <v/>
      </c>
      <c r="P100" t="str">
        <f>IF(C100="","",INDEX(VEValuesFIXED[V - Extreme Temperature],MATCH(C100,VEValuesFIXED[Elements at Risk],0),1))</f>
        <v/>
      </c>
    </row>
    <row r="101" spans="2:16" x14ac:dyDescent="0.35">
      <c r="B101" s="18"/>
      <c r="C101" s="18"/>
      <c r="D101" t="str">
        <f>IF(C101="","",INDEX(VEValuesFIXED[V - Coastal Inundation],MATCH('Backroom - question input'!C101,VEValuesFIXED[Elements at Risk],0),1))</f>
        <v/>
      </c>
      <c r="F101" t="str">
        <f>IF(C101="","",INDEX(VEValuesFIXED[V - Extreme Rainfall],MATCH(C101,VEValuesFIXED[Elements at Risk],0),1))</f>
        <v/>
      </c>
      <c r="H101" t="str">
        <f>IF(C101="","",INDEX(VEValuesFIXED[V - Tropical Cyclone],MATCH(C101,VEValuesFIXED[Elements at Risk],0),1))</f>
        <v/>
      </c>
      <c r="J101" t="str">
        <f>IF(C101="","",INDEX(VEValuesFIXED[V - Drought],MATCH(C101,VEValuesFIXED[Elements at Risk],0),1))</f>
        <v/>
      </c>
      <c r="L101" t="str">
        <f>IF(C101="","",INDEX(VEValuesFIXED[V - Marine Heat Waves],MATCH(C101,VEValuesFIXED[Elements at Risk],0),1))</f>
        <v/>
      </c>
      <c r="N101" t="str">
        <f>IF(C101="","",INDEX(VEValuesFIXED[V - Ocean Acidification],MATCH(C101,VEValuesFIXED[Elements at Risk],0),1))</f>
        <v/>
      </c>
      <c r="P101" t="str">
        <f>IF(C101="","",INDEX(VEValuesFIXED[V - Extreme Temperature],MATCH(C101,VEValuesFIXED[Elements at Risk],0),1))</f>
        <v/>
      </c>
    </row>
    <row r="102" spans="2:16" x14ac:dyDescent="0.35">
      <c r="B102" s="18"/>
      <c r="C102" s="18"/>
      <c r="D102" t="str">
        <f>IF(C102="","",INDEX(VEValuesFIXED[V - Coastal Inundation],MATCH('Backroom - question input'!C102,VEValuesFIXED[Elements at Risk],0),1))</f>
        <v/>
      </c>
      <c r="F102" t="str">
        <f>IF(C102="","",INDEX(VEValuesFIXED[V - Extreme Rainfall],MATCH(C102,VEValuesFIXED[Elements at Risk],0),1))</f>
        <v/>
      </c>
      <c r="H102" t="str">
        <f>IF(C102="","",INDEX(VEValuesFIXED[V - Tropical Cyclone],MATCH(C102,VEValuesFIXED[Elements at Risk],0),1))</f>
        <v/>
      </c>
      <c r="J102" t="str">
        <f>IF(C102="","",INDEX(VEValuesFIXED[V - Drought],MATCH(C102,VEValuesFIXED[Elements at Risk],0),1))</f>
        <v/>
      </c>
      <c r="L102" t="str">
        <f>IF(C102="","",INDEX(VEValuesFIXED[V - Marine Heat Waves],MATCH(C102,VEValuesFIXED[Elements at Risk],0),1))</f>
        <v/>
      </c>
      <c r="N102" t="str">
        <f>IF(C102="","",INDEX(VEValuesFIXED[V - Ocean Acidification],MATCH(C102,VEValuesFIXED[Elements at Risk],0),1))</f>
        <v/>
      </c>
      <c r="P102" t="str">
        <f>IF(C102="","",INDEX(VEValuesFIXED[V - Extreme Temperature],MATCH(C102,VEValuesFIXED[Elements at Risk],0),1))</f>
        <v/>
      </c>
    </row>
    <row r="103" spans="2:16" x14ac:dyDescent="0.35">
      <c r="B103" s="18"/>
      <c r="C103" s="18"/>
      <c r="D103" t="str">
        <f>IF(C103="","",INDEX(VEValuesFIXED[V - Coastal Inundation],MATCH('Backroom - question input'!C103,VEValuesFIXED[Elements at Risk],0),1))</f>
        <v/>
      </c>
      <c r="F103" t="str">
        <f>IF(C103="","",INDEX(VEValuesFIXED[V - Extreme Rainfall],MATCH(C103,VEValuesFIXED[Elements at Risk],0),1))</f>
        <v/>
      </c>
      <c r="H103" t="str">
        <f>IF(C103="","",INDEX(VEValuesFIXED[V - Tropical Cyclone],MATCH(C103,VEValuesFIXED[Elements at Risk],0),1))</f>
        <v/>
      </c>
      <c r="J103" t="str">
        <f>IF(C103="","",INDEX(VEValuesFIXED[V - Drought],MATCH(C103,VEValuesFIXED[Elements at Risk],0),1))</f>
        <v/>
      </c>
      <c r="L103" t="str">
        <f>IF(C103="","",INDEX(VEValuesFIXED[V - Marine Heat Waves],MATCH(C103,VEValuesFIXED[Elements at Risk],0),1))</f>
        <v/>
      </c>
      <c r="N103" t="str">
        <f>IF(C103="","",INDEX(VEValuesFIXED[V - Ocean Acidification],MATCH(C103,VEValuesFIXED[Elements at Risk],0),1))</f>
        <v/>
      </c>
      <c r="P103" t="str">
        <f>IF(C103="","",INDEX(VEValuesFIXED[V - Extreme Temperature],MATCH(C103,VEValuesFIXED[Elements at Risk],0),1))</f>
        <v/>
      </c>
    </row>
    <row r="104" spans="2:16" x14ac:dyDescent="0.35">
      <c r="B104" s="18"/>
      <c r="C104" s="18"/>
      <c r="D104" t="str">
        <f>IF(C104="","",INDEX(VEValuesFIXED[V - Coastal Inundation],MATCH('Backroom - question input'!C104,VEValuesFIXED[Elements at Risk],0),1))</f>
        <v/>
      </c>
      <c r="F104" t="str">
        <f>IF(C104="","",INDEX(VEValuesFIXED[V - Extreme Rainfall],MATCH(C104,VEValuesFIXED[Elements at Risk],0),1))</f>
        <v/>
      </c>
      <c r="H104" t="str">
        <f>IF(C104="","",INDEX(VEValuesFIXED[V - Tropical Cyclone],MATCH(C104,VEValuesFIXED[Elements at Risk],0),1))</f>
        <v/>
      </c>
      <c r="J104" t="str">
        <f>IF(C104="","",INDEX(VEValuesFIXED[V - Drought],MATCH(C104,VEValuesFIXED[Elements at Risk],0),1))</f>
        <v/>
      </c>
      <c r="L104" t="str">
        <f>IF(C104="","",INDEX(VEValuesFIXED[V - Marine Heat Waves],MATCH(C104,VEValuesFIXED[Elements at Risk],0),1))</f>
        <v/>
      </c>
      <c r="N104" t="str">
        <f>IF(C104="","",INDEX(VEValuesFIXED[V - Ocean Acidification],MATCH(C104,VEValuesFIXED[Elements at Risk],0),1))</f>
        <v/>
      </c>
      <c r="P104" t="str">
        <f>IF(C104="","",INDEX(VEValuesFIXED[V - Extreme Temperature],MATCH(C104,VEValuesFIXED[Elements at Risk],0),1))</f>
        <v/>
      </c>
    </row>
    <row r="105" spans="2:16" x14ac:dyDescent="0.35">
      <c r="B105" s="18"/>
      <c r="C105" s="18"/>
      <c r="D105" t="str">
        <f>IF(C105="","",INDEX(VEValuesFIXED[V - Coastal Inundation],MATCH('Backroom - question input'!C105,VEValuesFIXED[Elements at Risk],0),1))</f>
        <v/>
      </c>
      <c r="F105" t="str">
        <f>IF(C105="","",INDEX(VEValuesFIXED[V - Extreme Rainfall],MATCH(C105,VEValuesFIXED[Elements at Risk],0),1))</f>
        <v/>
      </c>
      <c r="H105" t="str">
        <f>IF(C105="","",INDEX(VEValuesFIXED[V - Tropical Cyclone],MATCH(C105,VEValuesFIXED[Elements at Risk],0),1))</f>
        <v/>
      </c>
      <c r="J105" t="str">
        <f>IF(C105="","",INDEX(VEValuesFIXED[V - Drought],MATCH(C105,VEValuesFIXED[Elements at Risk],0),1))</f>
        <v/>
      </c>
      <c r="L105" t="str">
        <f>IF(C105="","",INDEX(VEValuesFIXED[V - Marine Heat Waves],MATCH(C105,VEValuesFIXED[Elements at Risk],0),1))</f>
        <v/>
      </c>
      <c r="N105" t="str">
        <f>IF(C105="","",INDEX(VEValuesFIXED[V - Ocean Acidification],MATCH(C105,VEValuesFIXED[Elements at Risk],0),1))</f>
        <v/>
      </c>
      <c r="P105" t="str">
        <f>IF(C105="","",INDEX(VEValuesFIXED[V - Extreme Temperature],MATCH(C105,VEValuesFIXED[Elements at Risk],0),1))</f>
        <v/>
      </c>
    </row>
    <row r="106" spans="2:16" x14ac:dyDescent="0.35">
      <c r="B106" s="18"/>
      <c r="C106" s="18"/>
      <c r="D106" t="str">
        <f>IF(C106="","",INDEX(VEValuesFIXED[V - Coastal Inundation],MATCH('Backroom - question input'!C106,VEValuesFIXED[Elements at Risk],0),1))</f>
        <v/>
      </c>
      <c r="F106" t="str">
        <f>IF(C106="","",INDEX(VEValuesFIXED[V - Extreme Rainfall],MATCH(C106,VEValuesFIXED[Elements at Risk],0),1))</f>
        <v/>
      </c>
      <c r="H106" t="str">
        <f>IF(C106="","",INDEX(VEValuesFIXED[V - Tropical Cyclone],MATCH(C106,VEValuesFIXED[Elements at Risk],0),1))</f>
        <v/>
      </c>
      <c r="J106" t="str">
        <f>IF(C106="","",INDEX(VEValuesFIXED[V - Drought],MATCH(C106,VEValuesFIXED[Elements at Risk],0),1))</f>
        <v/>
      </c>
      <c r="L106" t="str">
        <f>IF(C106="","",INDEX(VEValuesFIXED[V - Marine Heat Waves],MATCH(C106,VEValuesFIXED[Elements at Risk],0),1))</f>
        <v/>
      </c>
      <c r="N106" t="str">
        <f>IF(C106="","",INDEX(VEValuesFIXED[V - Ocean Acidification],MATCH(C106,VEValuesFIXED[Elements at Risk],0),1))</f>
        <v/>
      </c>
      <c r="P106" t="str">
        <f>IF(C106="","",INDEX(VEValuesFIXED[V - Extreme Temperature],MATCH(C106,VEValuesFIXED[Elements at Risk],0),1))</f>
        <v/>
      </c>
    </row>
    <row r="107" spans="2:16" x14ac:dyDescent="0.35">
      <c r="B107" s="18"/>
      <c r="C107" s="18"/>
      <c r="D107" t="str">
        <f>IF(C107="","",INDEX(VEValuesFIXED[V - Coastal Inundation],MATCH('Backroom - question input'!C107,VEValuesFIXED[Elements at Risk],0),1))</f>
        <v/>
      </c>
      <c r="F107" t="str">
        <f>IF(C107="","",INDEX(VEValuesFIXED[V - Extreme Rainfall],MATCH(C107,VEValuesFIXED[Elements at Risk],0),1))</f>
        <v/>
      </c>
      <c r="H107" t="str">
        <f>IF(C107="","",INDEX(VEValuesFIXED[V - Tropical Cyclone],MATCH(C107,VEValuesFIXED[Elements at Risk],0),1))</f>
        <v/>
      </c>
      <c r="J107" t="str">
        <f>IF(C107="","",INDEX(VEValuesFIXED[V - Drought],MATCH(C107,VEValuesFIXED[Elements at Risk],0),1))</f>
        <v/>
      </c>
      <c r="L107" t="str">
        <f>IF(C107="","",INDEX(VEValuesFIXED[V - Marine Heat Waves],MATCH(C107,VEValuesFIXED[Elements at Risk],0),1))</f>
        <v/>
      </c>
      <c r="N107" t="str">
        <f>IF(C107="","",INDEX(VEValuesFIXED[V - Ocean Acidification],MATCH(C107,VEValuesFIXED[Elements at Risk],0),1))</f>
        <v/>
      </c>
      <c r="P107" t="str">
        <f>IF(C107="","",INDEX(VEValuesFIXED[V - Extreme Temperature],MATCH(C107,VEValuesFIXED[Elements at Risk],0),1))</f>
        <v/>
      </c>
    </row>
    <row r="113" spans="1:15" ht="18" x14ac:dyDescent="0.35">
      <c r="B113" s="92" t="s">
        <v>482</v>
      </c>
    </row>
    <row r="115" spans="1:15" ht="18" x14ac:dyDescent="0.35">
      <c r="A115" t="s">
        <v>498</v>
      </c>
      <c r="B115" s="92" t="s">
        <v>507</v>
      </c>
    </row>
    <row r="116" spans="1:15" x14ac:dyDescent="0.35">
      <c r="B116" s="22" t="s">
        <v>530</v>
      </c>
    </row>
    <row r="118" spans="1:15" x14ac:dyDescent="0.35">
      <c r="A118" t="s">
        <v>499</v>
      </c>
      <c r="B118" s="22" t="str" cm="1">
        <f t="array" ref="B118">_xlfn._xlws.FILTER(D118:D124,F118:F124&lt;&gt;"","")</f>
        <v>Has your industry prepared or implemented measures to manage risk associated with Tropical Cyclone? e.g. Evacuation planning</v>
      </c>
      <c r="D118" s="87" t="str">
        <f t="shared" ref="D118:D124" si="0">IF(F118&lt;&gt;"",_xlfn.CONCAT(E118:H118),"")</f>
        <v/>
      </c>
      <c r="E118" s="22" t="s">
        <v>263</v>
      </c>
      <c r="F118" t="str">
        <f>'Backroom - report content'!AJ5</f>
        <v/>
      </c>
      <c r="G118" s="22" t="s">
        <v>377</v>
      </c>
      <c r="H118" t="str">
        <f t="shared" ref="H118:H124" si="1">IF(F118&lt;&gt;"",INDEX($J$118:$K$124,MATCH(F118,$J$118:$J$124,0),2),"")</f>
        <v/>
      </c>
      <c r="J118" t="str">
        <f>'Backroom - question output calc'!B30</f>
        <v>Coastal Inundation</v>
      </c>
      <c r="K118" s="22" t="s">
        <v>370</v>
      </c>
      <c r="O118" t="str" cm="1">
        <f t="array" ref="O118">_xlfn._xlws.FILTER(F118:F124,F118:F124&lt;&gt;"","")</f>
        <v>Tropical Cyclone</v>
      </c>
    </row>
    <row r="119" spans="1:15" x14ac:dyDescent="0.35">
      <c r="A119" t="s">
        <v>500</v>
      </c>
      <c r="D119" s="87" t="str">
        <f t="shared" si="0"/>
        <v/>
      </c>
      <c r="E119" t="s">
        <v>263</v>
      </c>
      <c r="F119" t="str">
        <f>'Backroom - report content'!AJ6</f>
        <v/>
      </c>
      <c r="G119" s="22" t="s">
        <v>377</v>
      </c>
      <c r="H119" t="str">
        <f t="shared" si="1"/>
        <v/>
      </c>
      <c r="J119" t="str">
        <f>'Backroom - question output calc'!B31</f>
        <v>Extreme Rainfall</v>
      </c>
      <c r="K119" s="22" t="s">
        <v>371</v>
      </c>
    </row>
    <row r="120" spans="1:15" x14ac:dyDescent="0.35">
      <c r="A120" t="s">
        <v>501</v>
      </c>
      <c r="D120" s="87" t="str">
        <f t="shared" si="0"/>
        <v>Has your industry prepared or implemented measures to manage risk associated with Tropical Cyclone? e.g. Evacuation planning</v>
      </c>
      <c r="E120" t="s">
        <v>263</v>
      </c>
      <c r="F120" t="str">
        <f>'Backroom - report content'!AJ7</f>
        <v>Tropical Cyclone</v>
      </c>
      <c r="G120" s="22" t="s">
        <v>377</v>
      </c>
      <c r="H120" t="str">
        <f t="shared" si="1"/>
        <v>e.g. Evacuation planning</v>
      </c>
      <c r="J120" t="str">
        <f>'Backroom - question output calc'!B32</f>
        <v>Tropical Cyclone</v>
      </c>
      <c r="K120" s="22" t="s">
        <v>372</v>
      </c>
    </row>
    <row r="121" spans="1:15" x14ac:dyDescent="0.35">
      <c r="A121" t="s">
        <v>502</v>
      </c>
      <c r="D121" s="87" t="str">
        <f t="shared" si="0"/>
        <v/>
      </c>
      <c r="E121" t="s">
        <v>263</v>
      </c>
      <c r="F121" t="str">
        <f>'Backroom - report content'!AJ8</f>
        <v/>
      </c>
      <c r="G121" s="22" t="s">
        <v>377</v>
      </c>
      <c r="H121" t="str">
        <f t="shared" si="1"/>
        <v/>
      </c>
      <c r="J121" t="str">
        <f>'Backroom - question output calc'!B33</f>
        <v>Drought</v>
      </c>
      <c r="K121" s="22" t="s">
        <v>374</v>
      </c>
    </row>
    <row r="122" spans="1:15" x14ac:dyDescent="0.35">
      <c r="A122" t="s">
        <v>503</v>
      </c>
      <c r="D122" s="87" t="str">
        <f t="shared" si="0"/>
        <v/>
      </c>
      <c r="E122" t="s">
        <v>263</v>
      </c>
      <c r="F122" t="str">
        <f>'Backroom - report content'!AJ9</f>
        <v/>
      </c>
      <c r="G122" s="22" t="s">
        <v>377</v>
      </c>
      <c r="H122" t="str">
        <f t="shared" si="1"/>
        <v/>
      </c>
      <c r="J122" t="str">
        <f>'Backroom - question output calc'!B34</f>
        <v>Marine Heat Waves</v>
      </c>
      <c r="K122" s="22" t="s">
        <v>373</v>
      </c>
    </row>
    <row r="123" spans="1:15" x14ac:dyDescent="0.35">
      <c r="A123" t="s">
        <v>504</v>
      </c>
      <c r="D123" s="87" t="str">
        <f t="shared" si="0"/>
        <v/>
      </c>
      <c r="E123" t="s">
        <v>263</v>
      </c>
      <c r="F123" t="str">
        <f>'Backroom - report content'!AJ10</f>
        <v/>
      </c>
      <c r="G123" s="22" t="s">
        <v>377</v>
      </c>
      <c r="H123" t="str">
        <f t="shared" si="1"/>
        <v/>
      </c>
      <c r="J123" t="str">
        <f>'Backroom - question output calc'!B35</f>
        <v>Ocean Acidification</v>
      </c>
      <c r="K123" s="22" t="s">
        <v>375</v>
      </c>
    </row>
    <row r="124" spans="1:15" x14ac:dyDescent="0.35">
      <c r="A124" t="s">
        <v>505</v>
      </c>
      <c r="D124" s="87" t="str">
        <f t="shared" si="0"/>
        <v/>
      </c>
      <c r="E124" t="s">
        <v>263</v>
      </c>
      <c r="F124" t="str">
        <f>'Backroom - report content'!AJ11</f>
        <v/>
      </c>
      <c r="G124" s="22" t="s">
        <v>377</v>
      </c>
      <c r="H124" t="str">
        <f t="shared" si="1"/>
        <v/>
      </c>
      <c r="J124" t="str">
        <f>'Backroom - question output calc'!B36</f>
        <v>Extreme Temperature</v>
      </c>
      <c r="K124" s="22" t="s">
        <v>376</v>
      </c>
    </row>
    <row r="126" spans="1:15" ht="18" x14ac:dyDescent="0.35">
      <c r="A126">
        <v>6</v>
      </c>
      <c r="B126" s="92" t="s">
        <v>508</v>
      </c>
    </row>
    <row r="127" spans="1:15" x14ac:dyDescent="0.35">
      <c r="C127" t="s">
        <v>270</v>
      </c>
    </row>
    <row r="128" spans="1:15" ht="157.5" x14ac:dyDescent="0.35">
      <c r="B128" s="31" t="s">
        <v>264</v>
      </c>
      <c r="C128" t="s">
        <v>266</v>
      </c>
      <c r="D128" t="s">
        <v>267</v>
      </c>
      <c r="E128" s="22" t="s">
        <v>268</v>
      </c>
      <c r="F128" t="s">
        <v>269</v>
      </c>
    </row>
    <row r="129" spans="1:7" x14ac:dyDescent="0.35">
      <c r="B129" s="22" t="s">
        <v>261</v>
      </c>
    </row>
    <row r="130" spans="1:7" x14ac:dyDescent="0.35">
      <c r="B130" s="22" t="s">
        <v>262</v>
      </c>
    </row>
    <row r="131" spans="1:7" x14ac:dyDescent="0.35">
      <c r="B131" s="22" t="s">
        <v>271</v>
      </c>
      <c r="C131" t="s">
        <v>439</v>
      </c>
      <c r="D131" t="s">
        <v>199</v>
      </c>
      <c r="E131" t="s">
        <v>272</v>
      </c>
    </row>
    <row r="132" spans="1:7" ht="52.5" x14ac:dyDescent="0.35">
      <c r="A132">
        <v>6.1</v>
      </c>
      <c r="B132" s="49" t="s">
        <v>281</v>
      </c>
      <c r="G132"/>
    </row>
    <row r="133" spans="1:7" ht="52.5" x14ac:dyDescent="0.35">
      <c r="A133">
        <v>6.2</v>
      </c>
      <c r="B133" s="49" t="s">
        <v>282</v>
      </c>
      <c r="G133"/>
    </row>
    <row r="134" spans="1:7" ht="52.5" x14ac:dyDescent="0.35">
      <c r="A134">
        <v>6.3</v>
      </c>
      <c r="B134" s="49" t="s">
        <v>283</v>
      </c>
      <c r="G134"/>
    </row>
    <row r="135" spans="1:7" ht="52.5" x14ac:dyDescent="0.35">
      <c r="A135">
        <v>6.4</v>
      </c>
      <c r="B135" s="49" t="s">
        <v>461</v>
      </c>
      <c r="G135"/>
    </row>
    <row r="139" spans="1:7" x14ac:dyDescent="0.35">
      <c r="A139" t="s">
        <v>506</v>
      </c>
      <c r="B139" s="22" t="s">
        <v>514</v>
      </c>
      <c r="C139" t="s">
        <v>271</v>
      </c>
      <c r="D139" t="s">
        <v>442</v>
      </c>
      <c r="E139" t="s">
        <v>462</v>
      </c>
    </row>
    <row r="140" spans="1:7" ht="52.5" x14ac:dyDescent="0.35">
      <c r="A140">
        <v>7.1</v>
      </c>
      <c r="B140" s="31" t="s">
        <v>316</v>
      </c>
      <c r="D140" t="s">
        <v>413</v>
      </c>
    </row>
    <row r="141" spans="1:7" ht="70" x14ac:dyDescent="0.35">
      <c r="A141">
        <v>7.2</v>
      </c>
      <c r="B141" s="31" t="s">
        <v>317</v>
      </c>
      <c r="D141" t="s">
        <v>414</v>
      </c>
    </row>
    <row r="142" spans="1:7" ht="157.5" x14ac:dyDescent="0.35">
      <c r="A142">
        <v>7.3</v>
      </c>
      <c r="B142" s="22" t="s">
        <v>318</v>
      </c>
      <c r="D142" s="49" t="s">
        <v>415</v>
      </c>
    </row>
    <row r="145" spans="2:2" x14ac:dyDescent="0.35">
      <c r="B145" s="22" t="s">
        <v>274</v>
      </c>
    </row>
    <row r="146" spans="2:2" x14ac:dyDescent="0.35">
      <c r="B146" s="22" t="s">
        <v>273</v>
      </c>
    </row>
  </sheetData>
  <pageMargins left="0.7" right="0.7" top="0.75" bottom="0.75" header="0.3" footer="0.3"/>
  <pageSetup paperSize="256"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33B39-37B9-4615-8D36-758FA5C4A447}">
  <sheetPr codeName="Sheet9"/>
  <dimension ref="A2:AT73"/>
  <sheetViews>
    <sheetView topLeftCell="A48" zoomScale="74" workbookViewId="0">
      <selection activeCell="D39" sqref="D39"/>
    </sheetView>
  </sheetViews>
  <sheetFormatPr defaultRowHeight="17.5" x14ac:dyDescent="0.35"/>
  <cols>
    <col min="2" max="2" width="26.25" customWidth="1"/>
    <col min="3" max="3" width="9" bestFit="1" customWidth="1"/>
    <col min="4" max="4" width="10.4375" customWidth="1"/>
    <col min="5" max="5" width="9" bestFit="1" customWidth="1"/>
    <col min="12" max="12" width="24.9375" customWidth="1"/>
  </cols>
  <sheetData>
    <row r="2" spans="1:13" x14ac:dyDescent="0.35">
      <c r="C2" s="49"/>
      <c r="D2" s="49"/>
    </row>
    <row r="3" spans="1:13" ht="35.5" thickBot="1" x14ac:dyDescent="0.4">
      <c r="C3" s="30" t="s">
        <v>170</v>
      </c>
      <c r="D3" s="30" t="s">
        <v>171</v>
      </c>
      <c r="H3" s="14" t="str">
        <f>'Backroom - question input'!G1</f>
        <v>Natural Features</v>
      </c>
      <c r="J3" t="s">
        <v>62</v>
      </c>
      <c r="K3" s="14">
        <f>IF(SUM(E4:E6)&gt;0,1,0)</f>
        <v>0</v>
      </c>
    </row>
    <row r="4" spans="1:13" ht="18" x14ac:dyDescent="0.35">
      <c r="A4" t="str">
        <f>H3</f>
        <v>Natural Features</v>
      </c>
      <c r="B4" s="140" t="str">
        <f>'Backroom - question input'!G2</f>
        <v>Coastal / Marine Ecosystems</v>
      </c>
      <c r="C4" s="139" t="str">
        <f>'Backroom - question input'!E2</f>
        <v>Yes</v>
      </c>
      <c r="D4" s="18">
        <f>'Response Form'!F16</f>
        <v>0</v>
      </c>
      <c r="E4" s="18">
        <f t="shared" ref="E4:E26" si="0">IF(D4=C4,1,0)</f>
        <v>0</v>
      </c>
      <c r="H4" s="14" t="str">
        <f>'Backroom - question input'!I1</f>
        <v>Built Features</v>
      </c>
      <c r="J4" t="s">
        <v>62</v>
      </c>
      <c r="K4" s="14">
        <f>IF(SUM(E7:E17)&gt;0,1,0)</f>
        <v>0</v>
      </c>
    </row>
    <row r="5" spans="1:13" ht="18" x14ac:dyDescent="0.35">
      <c r="A5" t="str">
        <f>H3</f>
        <v>Natural Features</v>
      </c>
      <c r="B5" s="141" t="str">
        <f>'Backroom - question input'!G3</f>
        <v>Terrestrial Ecosystems</v>
      </c>
      <c r="C5" s="139" t="str">
        <f>'Backroom - question input'!E2</f>
        <v>Yes</v>
      </c>
      <c r="D5" s="18">
        <f>'Response Form'!F17</f>
        <v>0</v>
      </c>
      <c r="E5" s="18">
        <f t="shared" si="0"/>
        <v>0</v>
      </c>
      <c r="H5" s="14" t="str">
        <f>'Backroom - question input'!K1</f>
        <v>Operations</v>
      </c>
      <c r="J5" t="s">
        <v>62</v>
      </c>
      <c r="K5" s="14">
        <f>IF(SUM(E18:E26)&gt;0,1,0)</f>
        <v>0</v>
      </c>
    </row>
    <row r="6" spans="1:13" ht="18" thickBot="1" x14ac:dyDescent="0.4">
      <c r="A6" t="str">
        <f>H3</f>
        <v>Natural Features</v>
      </c>
      <c r="B6" s="142" t="str">
        <f>'Backroom - question input'!G4</f>
        <v>Freshwater Ecosystems</v>
      </c>
      <c r="C6" s="139" t="str">
        <f>'Backroom - question input'!E2</f>
        <v>Yes</v>
      </c>
      <c r="D6" s="18">
        <f>'Response Form'!F18</f>
        <v>0</v>
      </c>
      <c r="E6" s="18">
        <f t="shared" si="0"/>
        <v>0</v>
      </c>
    </row>
    <row r="7" spans="1:13" x14ac:dyDescent="0.35">
      <c r="A7" t="str">
        <f t="shared" ref="A7:A17" si="1">$H$4</f>
        <v>Built Features</v>
      </c>
      <c r="B7" s="140" t="str">
        <f>'Backroom - question input'!I2</f>
        <v>Inhabited Buildings</v>
      </c>
      <c r="C7" s="139" t="str">
        <f>'Backroom - question input'!E2</f>
        <v>Yes</v>
      </c>
      <c r="D7" s="18">
        <f>'Response Form'!F22</f>
        <v>0</v>
      </c>
      <c r="E7" s="18">
        <f t="shared" si="0"/>
        <v>0</v>
      </c>
    </row>
    <row r="8" spans="1:13" x14ac:dyDescent="0.35">
      <c r="A8" t="str">
        <f t="shared" si="1"/>
        <v>Built Features</v>
      </c>
      <c r="B8" s="141" t="str">
        <f>'Backroom - question input'!I3</f>
        <v>Ports / Wharves</v>
      </c>
      <c r="C8" s="139" t="str">
        <f>'Backroom - question input'!E2</f>
        <v>Yes</v>
      </c>
      <c r="D8" s="18">
        <f>'Response Form'!F23</f>
        <v>0</v>
      </c>
      <c r="E8" s="18">
        <f t="shared" si="0"/>
        <v>0</v>
      </c>
    </row>
    <row r="9" spans="1:13" x14ac:dyDescent="0.35">
      <c r="A9" t="str">
        <f t="shared" si="1"/>
        <v>Built Features</v>
      </c>
      <c r="B9" s="141" t="str">
        <f>'Backroom - question input'!I4</f>
        <v>Airports / Airfields</v>
      </c>
      <c r="C9" s="139" t="str">
        <f>'Backroom - question input'!E2</f>
        <v>Yes</v>
      </c>
      <c r="D9" s="18">
        <f>'Response Form'!F24</f>
        <v>0</v>
      </c>
      <c r="E9" s="18">
        <f t="shared" si="0"/>
        <v>0</v>
      </c>
      <c r="K9" s="49"/>
    </row>
    <row r="10" spans="1:13" ht="18" x14ac:dyDescent="0.35">
      <c r="A10" t="str">
        <f t="shared" si="1"/>
        <v>Built Features</v>
      </c>
      <c r="B10" s="141" t="str">
        <f>'Backroom - question input'!I5</f>
        <v>Telecommunications</v>
      </c>
      <c r="C10" s="139" t="str">
        <f>'Backroom - question input'!E2</f>
        <v>Yes</v>
      </c>
      <c r="D10" s="18">
        <f>'Response Form'!F25</f>
        <v>0</v>
      </c>
      <c r="E10" s="18">
        <f t="shared" si="0"/>
        <v>0</v>
      </c>
      <c r="H10" t="str">
        <f>'Response Form'!D55</f>
        <v>Coastal Inundation</v>
      </c>
      <c r="I10">
        <f>'Response Form'!D56</f>
        <v>0</v>
      </c>
      <c r="J10">
        <f>IF(I10='Backroom - question input'!$E$2,1,0)</f>
        <v>0</v>
      </c>
      <c r="K10" s="14"/>
      <c r="L10" s="14" t="s">
        <v>249</v>
      </c>
      <c r="M10" s="14">
        <f>SUM(J10:J16)</f>
        <v>0</v>
      </c>
    </row>
    <row r="11" spans="1:13" x14ac:dyDescent="0.35">
      <c r="A11" t="str">
        <f t="shared" si="1"/>
        <v>Built Features</v>
      </c>
      <c r="B11" s="141" t="str">
        <f>'Backroom - question input'!I6</f>
        <v>Electricity</v>
      </c>
      <c r="C11" s="139" t="str">
        <f>'Backroom - question input'!E2</f>
        <v>Yes</v>
      </c>
      <c r="D11" s="18">
        <f>'Response Form'!F26</f>
        <v>0</v>
      </c>
      <c r="E11" s="18">
        <f t="shared" si="0"/>
        <v>0</v>
      </c>
      <c r="H11" t="str">
        <f>'Response Form'!F55</f>
        <v>Extreme Rainfall</v>
      </c>
      <c r="I11">
        <f>'Response Form'!F56</f>
        <v>0</v>
      </c>
      <c r="J11">
        <f>IF(I11='Backroom - question input'!$E$2,1,0)</f>
        <v>0</v>
      </c>
    </row>
    <row r="12" spans="1:13" x14ac:dyDescent="0.35">
      <c r="A12" t="str">
        <f t="shared" si="1"/>
        <v>Built Features</v>
      </c>
      <c r="B12" s="141" t="str">
        <f>'Backroom - question input'!I7</f>
        <v>Wastewater Infrastructure</v>
      </c>
      <c r="C12" s="139" t="str">
        <f>'Backroom - question input'!E2</f>
        <v>Yes</v>
      </c>
      <c r="D12" s="18">
        <f>'Response Form'!F27</f>
        <v>0</v>
      </c>
      <c r="E12" s="18">
        <f t="shared" si="0"/>
        <v>0</v>
      </c>
      <c r="H12" t="str">
        <f>'Response Form'!H55</f>
        <v>Tropical Cyclone</v>
      </c>
      <c r="I12">
        <f>'Response Form'!H56</f>
        <v>0</v>
      </c>
      <c r="J12">
        <f>IF(I12='Backroom - question input'!$E$2,1,0)</f>
        <v>0</v>
      </c>
    </row>
    <row r="13" spans="1:13" x14ac:dyDescent="0.35">
      <c r="A13" t="str">
        <f t="shared" si="1"/>
        <v>Built Features</v>
      </c>
      <c r="B13" s="141" t="str">
        <f>'Backroom - question input'!I8</f>
        <v>Transportation Assets</v>
      </c>
      <c r="C13" s="139" t="str">
        <f>'Backroom - question input'!E2</f>
        <v>Yes</v>
      </c>
      <c r="D13" s="18">
        <f>'Response Form'!F28</f>
        <v>0</v>
      </c>
      <c r="E13" s="18">
        <f t="shared" si="0"/>
        <v>0</v>
      </c>
      <c r="H13" t="str">
        <f>'Response Form'!J55</f>
        <v>Drought</v>
      </c>
      <c r="I13">
        <f>'Response Form'!J56</f>
        <v>0</v>
      </c>
      <c r="J13">
        <f>IF(I13='Backroom - question input'!$E$2,1,0)</f>
        <v>0</v>
      </c>
    </row>
    <row r="14" spans="1:13" x14ac:dyDescent="0.35">
      <c r="A14" t="str">
        <f t="shared" si="1"/>
        <v>Built Features</v>
      </c>
      <c r="B14" s="141" t="str">
        <f>'Backroom - question input'!I9</f>
        <v>Water Supply</v>
      </c>
      <c r="C14" s="139" t="str">
        <f>'Backroom - question input'!E2</f>
        <v>Yes</v>
      </c>
      <c r="D14" s="18">
        <f>'Response Form'!F29</f>
        <v>0</v>
      </c>
      <c r="E14" s="18">
        <f t="shared" si="0"/>
        <v>0</v>
      </c>
      <c r="H14" t="str">
        <f>'Response Form'!L55</f>
        <v>Marine Heat Waves</v>
      </c>
      <c r="I14">
        <f>'Response Form'!L56</f>
        <v>0</v>
      </c>
      <c r="J14">
        <f>IF(I14='Backroom - question input'!$E$2,1,0)</f>
        <v>0</v>
      </c>
    </row>
    <row r="15" spans="1:13" x14ac:dyDescent="0.35">
      <c r="A15" t="str">
        <f t="shared" si="1"/>
        <v>Built Features</v>
      </c>
      <c r="B15" s="141" t="str">
        <f>'Backroom - question input'!I10</f>
        <v>Stormwater / Flood Management</v>
      </c>
      <c r="C15" s="139" t="str">
        <f>'Backroom - question input'!E2</f>
        <v>Yes</v>
      </c>
      <c r="D15" s="18">
        <f>'Response Form'!F30</f>
        <v>0</v>
      </c>
      <c r="E15" s="18">
        <f t="shared" si="0"/>
        <v>0</v>
      </c>
      <c r="H15" t="str">
        <f>'Response Form'!N55</f>
        <v>Ocean Acidification</v>
      </c>
      <c r="I15">
        <f>'Response Form'!N56</f>
        <v>0</v>
      </c>
      <c r="J15">
        <f>IF(I15='Backroom - question input'!$E$2,1,0)</f>
        <v>0</v>
      </c>
    </row>
    <row r="16" spans="1:13" x14ac:dyDescent="0.35">
      <c r="A16" t="str">
        <f t="shared" si="1"/>
        <v>Built Features</v>
      </c>
      <c r="B16" s="141" t="str">
        <f>'Backroom - question input'!I11</f>
        <v>Uninhabited Buildings</v>
      </c>
      <c r="C16" s="139" t="str">
        <f>'Backroom - question input'!E2</f>
        <v>Yes</v>
      </c>
      <c r="D16" s="18">
        <f>'Response Form'!F31</f>
        <v>0</v>
      </c>
      <c r="E16" s="18">
        <f t="shared" si="0"/>
        <v>0</v>
      </c>
      <c r="H16" t="str">
        <f>'Backroom - question input'!P82</f>
        <v>Extreme Temperature</v>
      </c>
      <c r="I16">
        <f>'Response Form'!P56</f>
        <v>0</v>
      </c>
      <c r="J16">
        <f>IF(I16='Backroom - question input'!$E$2,1,0)</f>
        <v>0</v>
      </c>
    </row>
    <row r="17" spans="1:11" ht="18" thickBot="1" x14ac:dyDescent="0.4">
      <c r="A17" t="str">
        <f t="shared" si="1"/>
        <v>Built Features</v>
      </c>
      <c r="B17" s="141" t="str">
        <f>'Backroom - question input'!I12</f>
        <v>Evacuation Structures</v>
      </c>
      <c r="C17" s="139" t="str">
        <f>'Backroom - question input'!E2</f>
        <v>Yes</v>
      </c>
      <c r="D17" s="18">
        <f>'Response Form'!F32</f>
        <v>0</v>
      </c>
      <c r="E17" s="18">
        <f t="shared" si="0"/>
        <v>0</v>
      </c>
    </row>
    <row r="18" spans="1:11" x14ac:dyDescent="0.35">
      <c r="A18" t="str">
        <f t="shared" ref="A18:A26" si="2">$H$5</f>
        <v>Operations</v>
      </c>
      <c r="B18" s="140" t="str">
        <f>'Backroom - question input'!K2</f>
        <v>Outdoor Land Activities</v>
      </c>
      <c r="C18" s="139" t="str">
        <f>'Backroom - question input'!E2</f>
        <v>Yes</v>
      </c>
      <c r="D18" s="18">
        <f>'Response Form'!F37</f>
        <v>0</v>
      </c>
      <c r="E18" s="18">
        <f t="shared" si="0"/>
        <v>0</v>
      </c>
    </row>
    <row r="19" spans="1:11" x14ac:dyDescent="0.35">
      <c r="A19" t="str">
        <f t="shared" si="2"/>
        <v>Operations</v>
      </c>
      <c r="B19" s="141" t="str">
        <f>'Backroom - question input'!K3</f>
        <v>Outdoor Marine Activities</v>
      </c>
      <c r="C19" s="139" t="str">
        <f>'Backroom - question input'!E2</f>
        <v>Yes</v>
      </c>
      <c r="D19" s="18">
        <f>'Response Form'!F38</f>
        <v>0</v>
      </c>
      <c r="E19" s="18">
        <f t="shared" si="0"/>
        <v>0</v>
      </c>
    </row>
    <row r="20" spans="1:11" x14ac:dyDescent="0.35">
      <c r="A20" t="str">
        <f t="shared" si="2"/>
        <v>Operations</v>
      </c>
      <c r="B20" s="141" t="str">
        <f>'Backroom - question input'!K4</f>
        <v>Outdoor Freshwater Activities</v>
      </c>
      <c r="C20" s="139" t="str">
        <f>'Backroom - question input'!E2</f>
        <v>Yes</v>
      </c>
      <c r="D20" s="18">
        <f>'Response Form'!F39</f>
        <v>0</v>
      </c>
      <c r="E20" s="18">
        <f t="shared" si="0"/>
        <v>0</v>
      </c>
    </row>
    <row r="21" spans="1:11" x14ac:dyDescent="0.35">
      <c r="A21" t="str">
        <f t="shared" si="2"/>
        <v>Operations</v>
      </c>
      <c r="B21" s="141" t="str">
        <f>'Backroom - question input'!K5</f>
        <v>Outdoor Coastal Activities</v>
      </c>
      <c r="C21" s="139" t="str">
        <f>'Backroom - question input'!E2</f>
        <v>Yes</v>
      </c>
      <c r="D21" s="18">
        <f>'Response Form'!F40</f>
        <v>0</v>
      </c>
      <c r="E21" s="18">
        <f t="shared" si="0"/>
        <v>0</v>
      </c>
      <c r="H21" t="str">
        <f>'Response Form'!C33</f>
        <v>Other / User defined:</v>
      </c>
      <c r="I21">
        <f>IF('Response Form'!F33='Backroom - question input'!E2,1,0)</f>
        <v>0</v>
      </c>
      <c r="J21">
        <f>'Response Form'!G33</f>
        <v>0</v>
      </c>
      <c r="K21" s="18" t="str">
        <f>IF(AND(I21=1,J21=0),H21,IF(I21=1,_xlfn.CONCAT(H21," ",J21),H21))</f>
        <v>Other / User defined:</v>
      </c>
    </row>
    <row r="22" spans="1:11" x14ac:dyDescent="0.35">
      <c r="A22" t="str">
        <f t="shared" si="2"/>
        <v>Operations</v>
      </c>
      <c r="B22" s="141" t="str">
        <f>'Backroom - question input'!K6</f>
        <v>Land Transportation Activities</v>
      </c>
      <c r="C22" s="139" t="str">
        <f>'Backroom - question input'!E2</f>
        <v>Yes</v>
      </c>
      <c r="D22" s="18">
        <f>'Response Form'!F41</f>
        <v>0</v>
      </c>
      <c r="E22" s="18">
        <f t="shared" si="0"/>
        <v>0</v>
      </c>
    </row>
    <row r="23" spans="1:11" x14ac:dyDescent="0.35">
      <c r="A23" t="str">
        <f t="shared" si="2"/>
        <v>Operations</v>
      </c>
      <c r="B23" s="141" t="str">
        <f>'Backroom - question input'!K7</f>
        <v>Water Transportation Activities</v>
      </c>
      <c r="C23" s="139" t="str">
        <f>'Backroom - question input'!E2</f>
        <v>Yes</v>
      </c>
      <c r="D23" s="18">
        <f>'Response Form'!F42</f>
        <v>0</v>
      </c>
      <c r="E23" s="18">
        <f t="shared" si="0"/>
        <v>0</v>
      </c>
    </row>
    <row r="24" spans="1:11" x14ac:dyDescent="0.35">
      <c r="A24" t="str">
        <f t="shared" si="2"/>
        <v>Operations</v>
      </c>
      <c r="B24" s="141" t="str">
        <f>'Backroom - question input'!K8</f>
        <v>Office / Shop / Admin Activities</v>
      </c>
      <c r="C24" s="139" t="str">
        <f>'Backroom - question input'!E2</f>
        <v>Yes</v>
      </c>
      <c r="D24" s="18">
        <f>'Response Form'!F43</f>
        <v>0</v>
      </c>
      <c r="E24" s="18">
        <f t="shared" si="0"/>
        <v>0</v>
      </c>
    </row>
    <row r="25" spans="1:11" x14ac:dyDescent="0.35">
      <c r="A25" t="str">
        <f t="shared" si="2"/>
        <v>Operations</v>
      </c>
      <c r="B25" s="141" t="str">
        <f>'Backroom - question input'!K9</f>
        <v>Goods Supply Activities</v>
      </c>
      <c r="C25" s="139" t="str">
        <f>'Backroom - question input'!E2</f>
        <v>Yes</v>
      </c>
      <c r="D25" s="18">
        <f>'Response Form'!F44</f>
        <v>0</v>
      </c>
      <c r="E25" s="18">
        <f t="shared" si="0"/>
        <v>0</v>
      </c>
    </row>
    <row r="26" spans="1:11" ht="18" thickBot="1" x14ac:dyDescent="0.4">
      <c r="A26" t="str">
        <f t="shared" si="2"/>
        <v>Operations</v>
      </c>
      <c r="B26" s="142" t="str">
        <f>'Backroom - question input'!K10</f>
        <v>Construction Activities</v>
      </c>
      <c r="C26" s="139" t="str">
        <f>'Backroom - question input'!E2</f>
        <v>Yes</v>
      </c>
      <c r="D26" s="18">
        <f>'Response Form'!F45</f>
        <v>0</v>
      </c>
      <c r="E26" s="18">
        <f t="shared" si="0"/>
        <v>0</v>
      </c>
    </row>
    <row r="29" spans="1:11" ht="35.5" x14ac:dyDescent="0.35">
      <c r="B29" s="158" t="s">
        <v>258</v>
      </c>
      <c r="C29" s="180" t="s">
        <v>250</v>
      </c>
      <c r="D29" s="181" t="s">
        <v>251</v>
      </c>
    </row>
    <row r="30" spans="1:11" x14ac:dyDescent="0.35">
      <c r="B30" s="19" t="str">
        <f t="shared" ref="B30:B36" si="3">H10</f>
        <v>Coastal Inundation</v>
      </c>
      <c r="C30" cm="1">
        <f t="array" ref="C30">IF(OR('Response Form'!D56:E56='Backroom - question input'!E2,'Response Form'!H61='Backroom - question input'!E2,'Response Form'!H62='Backroom - question input'!E2),1,0)</f>
        <v>0</v>
      </c>
      <c r="D30" s="143" t="s">
        <v>252</v>
      </c>
    </row>
    <row r="31" spans="1:11" x14ac:dyDescent="0.35">
      <c r="B31" s="19" t="str">
        <f t="shared" si="3"/>
        <v>Extreme Rainfall</v>
      </c>
      <c r="C31" cm="1">
        <f t="array" ref="C31">IF(OR('Response Form'!F56:G56='Backroom - question input'!E2,'Response Form'!H62='Backroom - question input'!E2,'Response Form'!H65='Backroom - question input'!E2),1,0)</f>
        <v>0</v>
      </c>
      <c r="D31" s="143" t="s">
        <v>253</v>
      </c>
    </row>
    <row r="32" spans="1:11" x14ac:dyDescent="0.35">
      <c r="B32" s="19" t="str">
        <f t="shared" si="3"/>
        <v>Tropical Cyclone</v>
      </c>
      <c r="C32">
        <f>1</f>
        <v>1</v>
      </c>
      <c r="D32" s="143" t="s">
        <v>254</v>
      </c>
    </row>
    <row r="33" spans="1:46" x14ac:dyDescent="0.35">
      <c r="B33" s="19" t="str">
        <f t="shared" si="3"/>
        <v>Drought</v>
      </c>
      <c r="C33" cm="1">
        <f t="array" ref="C33">IF(OR('Response Form'!J56:K56='Backroom - question input'!E2,'Response Form'!H64='Backroom - question input'!E2),1,0)</f>
        <v>0</v>
      </c>
      <c r="D33" s="143" t="s">
        <v>255</v>
      </c>
    </row>
    <row r="34" spans="1:46" x14ac:dyDescent="0.35">
      <c r="B34" s="19" t="str">
        <f t="shared" si="3"/>
        <v>Marine Heat Waves</v>
      </c>
      <c r="C34" cm="1">
        <f t="array" ref="C34">IF(OR('Response Form'!L56:M56='Backroom - question input'!E2,'Response Form'!H63='Backroom - question input'!E2),1,0)</f>
        <v>0</v>
      </c>
      <c r="D34" s="143" t="s">
        <v>256</v>
      </c>
    </row>
    <row r="35" spans="1:46" x14ac:dyDescent="0.35">
      <c r="B35" s="19" t="str">
        <f t="shared" si="3"/>
        <v>Ocean Acidification</v>
      </c>
      <c r="C35" cm="1">
        <f t="array" ref="C35">IF(OR('Response Form'!N56:O56='Backroom - question input'!E2,'Response Form'!H63='Backroom - question input'!E2),1,0)</f>
        <v>0</v>
      </c>
      <c r="D35" s="143" t="s">
        <v>256</v>
      </c>
    </row>
    <row r="36" spans="1:46" x14ac:dyDescent="0.35">
      <c r="B36" s="19" t="str">
        <f t="shared" si="3"/>
        <v>Extreme Temperature</v>
      </c>
      <c r="C36" cm="1">
        <f t="array" ref="C36">IF(OR('Response Form'!P56:Q56='Backroom - question input'!E2,'Response Form'!H64='Backroom - question input'!E2,'Response Form'!H66='Backroom - question input'!E2),1,0)</f>
        <v>0</v>
      </c>
      <c r="D36" s="143" t="s">
        <v>257</v>
      </c>
    </row>
    <row r="42" spans="1:46" ht="18" x14ac:dyDescent="0.35">
      <c r="B42" s="92" t="s">
        <v>293</v>
      </c>
    </row>
    <row r="43" spans="1:46" ht="18" thickBot="1" x14ac:dyDescent="0.4">
      <c r="I43" t="s">
        <v>295</v>
      </c>
    </row>
    <row r="44" spans="1:46" ht="105" customHeight="1" x14ac:dyDescent="0.35">
      <c r="A44" s="140" t="str">
        <f>IF('Response Form'!C127=0,"",'Response Form'!C127)</f>
        <v/>
      </c>
      <c r="B44">
        <f>IF('Response Form'!E127="",0,1)</f>
        <v>0</v>
      </c>
      <c r="C44">
        <f>IF('Response Form'!G127="",0,1)</f>
        <v>0</v>
      </c>
      <c r="D44">
        <f>IF('Response Form'!I127="",0,1)</f>
        <v>0</v>
      </c>
      <c r="E44">
        <f>IF('Response Form'!K127="",0,1)</f>
        <v>0</v>
      </c>
      <c r="F44">
        <f>IF('Response Form'!M127="",0,1)</f>
        <v>0</v>
      </c>
      <c r="G44">
        <f>IF('Response Form'!O127="",0,1)</f>
        <v>0</v>
      </c>
      <c r="H44">
        <f>IF('Response Form'!Q127="",0,1)</f>
        <v>0</v>
      </c>
      <c r="I44" s="18">
        <f>IF(SUM(B44:H44)&gt;0,1,0)</f>
        <v>0</v>
      </c>
      <c r="J44" t="str">
        <f t="shared" ref="J44:J73" si="4">IF(I44&gt;0,A44,"")</f>
        <v/>
      </c>
      <c r="K44" t="str">
        <f>IF(I44=0,"",IF(SUM(I45:$I$73)=1,", and ",IF(SUM(I45:$I$73)=0,". ",", ")))</f>
        <v/>
      </c>
      <c r="L44" s="570" t="str">
        <f>_xlfn.CONCAT(J44:K73)</f>
        <v/>
      </c>
      <c r="M44" s="570"/>
      <c r="AA44" t="str">
        <f>IF('Response Form'!AA127=0,"",'Response Form'!AA127)</f>
        <v/>
      </c>
      <c r="AB44" t="str">
        <f>IF('Response Form'!AB127=0,"",'Response Form'!AB127)</f>
        <v/>
      </c>
      <c r="AC44" t="str">
        <f>IF('Response Form'!AC127=0,"",'Response Form'!AC127)</f>
        <v/>
      </c>
      <c r="AD44" t="str">
        <f>IF('Response Form'!AD127=0,"",'Response Form'!AD127)</f>
        <v/>
      </c>
      <c r="AE44" t="str">
        <f>IF('Response Form'!AE127=0,"",'Response Form'!AE127)</f>
        <v/>
      </c>
      <c r="AF44" t="str">
        <f>IF('Response Form'!AF127=0,"",'Response Form'!AF127)</f>
        <v/>
      </c>
      <c r="AG44" t="str">
        <f>IF('Response Form'!AG127=0,"",'Response Form'!AG127)</f>
        <v/>
      </c>
      <c r="AH44" t="str">
        <f>IF('Response Form'!AH127=0,"",'Response Form'!AH127)</f>
        <v/>
      </c>
      <c r="AI44" t="str">
        <f>IF('Response Form'!AI127=0,"",'Response Form'!AI127)</f>
        <v/>
      </c>
      <c r="AJ44" t="str">
        <f>IF('Response Form'!AJ127=0,"",'Response Form'!AJ127)</f>
        <v/>
      </c>
      <c r="AK44" t="str">
        <f>IF('Response Form'!AK127=0,"",'Response Form'!AK127)</f>
        <v/>
      </c>
      <c r="AL44" t="str">
        <f>IF('Response Form'!AL127=0,"",'Response Form'!AL127)</f>
        <v/>
      </c>
      <c r="AM44" t="str">
        <f>IF('Response Form'!AM127=0,"",'Response Form'!AM127)</f>
        <v/>
      </c>
      <c r="AN44" t="str">
        <f>IF('Response Form'!AN127=0,"",'Response Form'!AN127)</f>
        <v/>
      </c>
      <c r="AO44" t="str">
        <f>IF('Response Form'!AO127=0,"",'Response Form'!AO127)</f>
        <v/>
      </c>
      <c r="AP44" t="str">
        <f>IF('Response Form'!AP127=0,"",'Response Form'!AP127)</f>
        <v/>
      </c>
      <c r="AQ44" t="str">
        <f>IF('Response Form'!AQ127=0,"",'Response Form'!AQ127)</f>
        <v/>
      </c>
      <c r="AR44" t="str">
        <f>IF('Response Form'!AR127=0,"",'Response Form'!AR127)</f>
        <v/>
      </c>
      <c r="AS44" t="str">
        <f>IF('Response Form'!AS127=0,"",'Response Form'!AS127)</f>
        <v/>
      </c>
      <c r="AT44" t="str">
        <f>IF('Response Form'!AT127=0,"",'Response Form'!AT127)</f>
        <v/>
      </c>
    </row>
    <row r="45" spans="1:46" x14ac:dyDescent="0.35">
      <c r="A45" s="141" t="str">
        <f>IF('Response Form'!C128=0,"",'Response Form'!C128)</f>
        <v/>
      </c>
      <c r="B45">
        <f>IF('Response Form'!E128="",0,1)</f>
        <v>0</v>
      </c>
      <c r="C45">
        <f>IF('Response Form'!G128="",0,1)</f>
        <v>0</v>
      </c>
      <c r="D45">
        <f>IF('Response Form'!I128="",0,1)</f>
        <v>0</v>
      </c>
      <c r="E45">
        <f>IF('Response Form'!K128="",0,1)</f>
        <v>0</v>
      </c>
      <c r="F45">
        <f>IF('Response Form'!M128="",0,1)</f>
        <v>0</v>
      </c>
      <c r="G45">
        <f>IF('Response Form'!O128="",0,1)</f>
        <v>0</v>
      </c>
      <c r="H45">
        <f>IF('Response Form'!Q128="",0,1)</f>
        <v>0</v>
      </c>
      <c r="I45" s="18">
        <f t="shared" ref="I45:I66" si="5">IF(SUM(B45:H45)&gt;0,1,0)</f>
        <v>0</v>
      </c>
      <c r="J45" t="str">
        <f t="shared" si="4"/>
        <v/>
      </c>
      <c r="K45" t="str">
        <f>IF(I45=0,"",IF(SUM(I46:$I$73)=1,", and ",IF(SUM(I46:$I$73)=0,". ",", ")))</f>
        <v/>
      </c>
      <c r="L45" s="570"/>
      <c r="M45" s="570"/>
    </row>
    <row r="46" spans="1:46" x14ac:dyDescent="0.35">
      <c r="A46" s="141" t="str">
        <f>IF('Response Form'!C129=0,"",'Response Form'!C129)</f>
        <v/>
      </c>
      <c r="B46">
        <f>IF('Response Form'!E129="",0,1)</f>
        <v>0</v>
      </c>
      <c r="C46">
        <f>IF('Response Form'!G129="",0,1)</f>
        <v>0</v>
      </c>
      <c r="D46">
        <f>IF('Response Form'!I129="",0,1)</f>
        <v>0</v>
      </c>
      <c r="E46">
        <f>IF('Response Form'!K129="",0,1)</f>
        <v>0</v>
      </c>
      <c r="F46">
        <f>IF('Response Form'!M129="",0,1)</f>
        <v>0</v>
      </c>
      <c r="G46">
        <f>IF('Response Form'!O129="",0,1)</f>
        <v>0</v>
      </c>
      <c r="H46">
        <f>IF('Response Form'!Q129="",0,1)</f>
        <v>0</v>
      </c>
      <c r="I46" s="18">
        <f t="shared" si="5"/>
        <v>0</v>
      </c>
      <c r="J46" t="str">
        <f t="shared" si="4"/>
        <v/>
      </c>
      <c r="K46" t="str">
        <f>IF(I46=0,"",IF(SUM(I47:$I$73)=1,", and ",IF(SUM(I47:$I$73)=0,". ",", ")))</f>
        <v/>
      </c>
      <c r="L46" s="570"/>
      <c r="M46" s="570"/>
    </row>
    <row r="47" spans="1:46" x14ac:dyDescent="0.35">
      <c r="A47" s="141" t="str">
        <f>IF('Response Form'!C130=0,"",'Response Form'!C130)</f>
        <v/>
      </c>
      <c r="B47">
        <f>IF('Response Form'!E130="",0,1)</f>
        <v>0</v>
      </c>
      <c r="C47">
        <f>IF('Response Form'!G130="",0,1)</f>
        <v>0</v>
      </c>
      <c r="D47">
        <f>IF('Response Form'!I130="",0,1)</f>
        <v>0</v>
      </c>
      <c r="E47">
        <f>IF('Response Form'!K130="",0,1)</f>
        <v>0</v>
      </c>
      <c r="F47">
        <f>IF('Response Form'!M130="",0,1)</f>
        <v>0</v>
      </c>
      <c r="G47">
        <f>IF('Response Form'!O130="",0,1)</f>
        <v>0</v>
      </c>
      <c r="H47">
        <f>IF('Response Form'!Q130="",0,1)</f>
        <v>0</v>
      </c>
      <c r="I47" s="18">
        <f t="shared" si="5"/>
        <v>0</v>
      </c>
      <c r="J47" t="str">
        <f t="shared" si="4"/>
        <v/>
      </c>
      <c r="K47" t="str">
        <f>IF(I47=0,"",IF(SUM(I48:$I$73)=1,", and ",IF(SUM(I48:$I$73)=0,". ",", ")))</f>
        <v/>
      </c>
      <c r="L47" s="570"/>
      <c r="M47" s="570"/>
    </row>
    <row r="48" spans="1:46" x14ac:dyDescent="0.35">
      <c r="A48" s="141" t="str">
        <f>IF('Response Form'!C131=0,"",'Response Form'!C131)</f>
        <v/>
      </c>
      <c r="B48">
        <f>IF('Response Form'!E131="",0,1)</f>
        <v>0</v>
      </c>
      <c r="C48">
        <f>IF('Response Form'!G131="",0,1)</f>
        <v>0</v>
      </c>
      <c r="D48">
        <f>IF('Response Form'!I131="",0,1)</f>
        <v>0</v>
      </c>
      <c r="E48">
        <f>IF('Response Form'!K131="",0,1)</f>
        <v>0</v>
      </c>
      <c r="F48">
        <f>IF('Response Form'!M131="",0,1)</f>
        <v>0</v>
      </c>
      <c r="G48">
        <f>IF('Response Form'!O131="",0,1)</f>
        <v>0</v>
      </c>
      <c r="H48">
        <f>IF('Response Form'!Q131="",0,1)</f>
        <v>0</v>
      </c>
      <c r="I48" s="18">
        <f t="shared" si="5"/>
        <v>0</v>
      </c>
      <c r="J48" t="str">
        <f t="shared" si="4"/>
        <v/>
      </c>
      <c r="K48" t="str">
        <f>IF(I48=0,"",IF(SUM(I49:$I$73)=1,", and ",IF(SUM(I49:$I$73)=0,". ",", ")))</f>
        <v/>
      </c>
      <c r="L48" s="570"/>
      <c r="M48" s="570"/>
    </row>
    <row r="49" spans="1:11" x14ac:dyDescent="0.35">
      <c r="A49" s="141" t="str">
        <f>IF('Response Form'!C132=0,"",'Response Form'!C132)</f>
        <v/>
      </c>
      <c r="B49">
        <f>IF('Response Form'!E132="",0,1)</f>
        <v>0</v>
      </c>
      <c r="C49">
        <f>IF('Response Form'!G132="",0,1)</f>
        <v>0</v>
      </c>
      <c r="D49">
        <f>IF('Response Form'!I132="",0,1)</f>
        <v>0</v>
      </c>
      <c r="E49">
        <f>IF('Response Form'!K132="",0,1)</f>
        <v>0</v>
      </c>
      <c r="F49">
        <f>IF('Response Form'!M132="",0,1)</f>
        <v>0</v>
      </c>
      <c r="G49">
        <f>IF('Response Form'!O132="",0,1)</f>
        <v>0</v>
      </c>
      <c r="H49">
        <f>IF('Response Form'!Q132="",0,1)</f>
        <v>0</v>
      </c>
      <c r="I49" s="18">
        <f t="shared" si="5"/>
        <v>0</v>
      </c>
      <c r="J49" t="str">
        <f t="shared" si="4"/>
        <v/>
      </c>
      <c r="K49" t="str">
        <f>IF(I49=0,"",IF(SUM(I50:$I$73)=1,", and ",IF(SUM(I50:$I$73)=0,". ",", ")))</f>
        <v/>
      </c>
    </row>
    <row r="50" spans="1:11" x14ac:dyDescent="0.35">
      <c r="A50" s="141" t="str">
        <f>IF('Response Form'!C133=0,"",'Response Form'!C133)</f>
        <v/>
      </c>
      <c r="B50">
        <f>IF('Response Form'!E133="",0,1)</f>
        <v>0</v>
      </c>
      <c r="C50">
        <f>IF('Response Form'!G133="",0,1)</f>
        <v>0</v>
      </c>
      <c r="D50">
        <f>IF('Response Form'!I133="",0,1)</f>
        <v>0</v>
      </c>
      <c r="E50">
        <f>IF('Response Form'!K133="",0,1)</f>
        <v>0</v>
      </c>
      <c r="F50">
        <f>IF('Response Form'!M133="",0,1)</f>
        <v>0</v>
      </c>
      <c r="G50">
        <f>IF('Response Form'!O133="",0,1)</f>
        <v>0</v>
      </c>
      <c r="H50">
        <f>IF('Response Form'!Q133="",0,1)</f>
        <v>0</v>
      </c>
      <c r="I50" s="18">
        <f t="shared" si="5"/>
        <v>0</v>
      </c>
      <c r="J50" t="str">
        <f t="shared" si="4"/>
        <v/>
      </c>
      <c r="K50" t="str">
        <f>IF(I50=0,"",IF(SUM(I51:$I$73)=1,", and ",IF(SUM(I51:$I$73)=0,". ",", ")))</f>
        <v/>
      </c>
    </row>
    <row r="51" spans="1:11" x14ac:dyDescent="0.35">
      <c r="A51" s="141" t="str">
        <f>IF('Response Form'!C134=0,"",'Response Form'!C134)</f>
        <v/>
      </c>
      <c r="B51">
        <f>IF('Response Form'!E134="",0,1)</f>
        <v>0</v>
      </c>
      <c r="C51">
        <f>IF('Response Form'!G134="",0,1)</f>
        <v>0</v>
      </c>
      <c r="D51">
        <f>IF('Response Form'!I134="",0,1)</f>
        <v>0</v>
      </c>
      <c r="E51">
        <f>IF('Response Form'!K134="",0,1)</f>
        <v>0</v>
      </c>
      <c r="F51">
        <f>IF('Response Form'!M134="",0,1)</f>
        <v>0</v>
      </c>
      <c r="G51">
        <f>IF('Response Form'!O134="",0,1)</f>
        <v>0</v>
      </c>
      <c r="H51">
        <f>IF('Response Form'!Q134="",0,1)</f>
        <v>0</v>
      </c>
      <c r="I51" s="18">
        <f t="shared" si="5"/>
        <v>0</v>
      </c>
      <c r="J51" t="str">
        <f t="shared" si="4"/>
        <v/>
      </c>
      <c r="K51" t="str">
        <f>IF(I51=0,"",IF(SUM(I52:$I$73)=1,", and ",IF(SUM(I52:$I$73)=0,". ",", ")))</f>
        <v/>
      </c>
    </row>
    <row r="52" spans="1:11" x14ac:dyDescent="0.35">
      <c r="A52" s="141" t="str">
        <f>IF('Response Form'!C135=0,"",'Response Form'!C135)</f>
        <v/>
      </c>
      <c r="B52">
        <f>IF('Response Form'!E135="",0,1)</f>
        <v>0</v>
      </c>
      <c r="C52">
        <f>IF('Response Form'!G135="",0,1)</f>
        <v>0</v>
      </c>
      <c r="D52">
        <f>IF('Response Form'!I135="",0,1)</f>
        <v>0</v>
      </c>
      <c r="E52">
        <f>IF('Response Form'!K135="",0,1)</f>
        <v>0</v>
      </c>
      <c r="F52">
        <f>IF('Response Form'!M135="",0,1)</f>
        <v>0</v>
      </c>
      <c r="G52">
        <f>IF('Response Form'!O135="",0,1)</f>
        <v>0</v>
      </c>
      <c r="H52">
        <f>IF('Response Form'!Q135="",0,1)</f>
        <v>0</v>
      </c>
      <c r="I52" s="18">
        <f t="shared" si="5"/>
        <v>0</v>
      </c>
      <c r="J52" t="str">
        <f t="shared" si="4"/>
        <v/>
      </c>
      <c r="K52" t="str">
        <f>IF(I52=0,"",IF(SUM(I53:$I$73)=1,", and ",IF(SUM(I53:$I$73)=0,". ",", ")))</f>
        <v/>
      </c>
    </row>
    <row r="53" spans="1:11" x14ac:dyDescent="0.35">
      <c r="A53" s="141" t="str">
        <f>IF('Response Form'!C136=0,"",'Response Form'!C136)</f>
        <v/>
      </c>
      <c r="B53">
        <f>IF('Response Form'!E136="",0,1)</f>
        <v>0</v>
      </c>
      <c r="C53">
        <f>IF('Response Form'!G136="",0,1)</f>
        <v>0</v>
      </c>
      <c r="D53">
        <f>IF('Response Form'!I136="",0,1)</f>
        <v>0</v>
      </c>
      <c r="E53">
        <f>IF('Response Form'!K136="",0,1)</f>
        <v>0</v>
      </c>
      <c r="F53">
        <f>IF('Response Form'!M136="",0,1)</f>
        <v>0</v>
      </c>
      <c r="G53">
        <f>IF('Response Form'!O136="",0,1)</f>
        <v>0</v>
      </c>
      <c r="H53">
        <f>IF('Response Form'!Q136="",0,1)</f>
        <v>0</v>
      </c>
      <c r="I53" s="18">
        <f t="shared" si="5"/>
        <v>0</v>
      </c>
      <c r="J53" t="str">
        <f t="shared" si="4"/>
        <v/>
      </c>
      <c r="K53" t="str">
        <f>IF(I53=0,"",IF(SUM(I54:$I$73)=1,", and ",IF(SUM(I54:$I$73)=0,". ",", ")))</f>
        <v/>
      </c>
    </row>
    <row r="54" spans="1:11" x14ac:dyDescent="0.35">
      <c r="A54" s="141" t="str">
        <f>IF('Response Form'!C137=0,"",'Response Form'!C137)</f>
        <v/>
      </c>
      <c r="B54">
        <f>IF('Response Form'!E137="",0,1)</f>
        <v>0</v>
      </c>
      <c r="C54">
        <f>IF('Response Form'!G137="",0,1)</f>
        <v>0</v>
      </c>
      <c r="D54">
        <f>IF('Response Form'!I137="",0,1)</f>
        <v>0</v>
      </c>
      <c r="E54">
        <f>IF('Response Form'!K137="",0,1)</f>
        <v>0</v>
      </c>
      <c r="F54">
        <f>IF('Response Form'!M137="",0,1)</f>
        <v>0</v>
      </c>
      <c r="G54">
        <f>IF('Response Form'!O137="",0,1)</f>
        <v>0</v>
      </c>
      <c r="H54">
        <f>IF('Response Form'!Q137="",0,1)</f>
        <v>0</v>
      </c>
      <c r="I54" s="18">
        <f t="shared" si="5"/>
        <v>0</v>
      </c>
      <c r="J54" t="str">
        <f t="shared" si="4"/>
        <v/>
      </c>
      <c r="K54" t="str">
        <f>IF(I54=0,"",IF(SUM(I55:$I$73)=1,", and ",IF(SUM(I55:$I$73)=0,". ",", ")))</f>
        <v/>
      </c>
    </row>
    <row r="55" spans="1:11" x14ac:dyDescent="0.35">
      <c r="A55" s="141" t="str">
        <f>IF('Response Form'!C138=0,"",'Response Form'!C138)</f>
        <v/>
      </c>
      <c r="B55">
        <f>IF('Response Form'!E138="",0,1)</f>
        <v>0</v>
      </c>
      <c r="C55">
        <f>IF('Response Form'!G138="",0,1)</f>
        <v>0</v>
      </c>
      <c r="D55">
        <f>IF('Response Form'!I138="",0,1)</f>
        <v>0</v>
      </c>
      <c r="E55">
        <f>IF('Response Form'!K138="",0,1)</f>
        <v>0</v>
      </c>
      <c r="F55">
        <f>IF('Response Form'!M138="",0,1)</f>
        <v>0</v>
      </c>
      <c r="G55">
        <f>IF('Response Form'!O138="",0,1)</f>
        <v>0</v>
      </c>
      <c r="H55">
        <f>IF('Response Form'!Q138="",0,1)</f>
        <v>0</v>
      </c>
      <c r="I55" s="18">
        <f t="shared" si="5"/>
        <v>0</v>
      </c>
      <c r="J55" t="str">
        <f t="shared" si="4"/>
        <v/>
      </c>
      <c r="K55" t="str">
        <f>IF(I55=0,"",IF(SUM(I56:$I$73)=1,", and ",IF(SUM(I56:$I$73)=0,". ",", ")))</f>
        <v/>
      </c>
    </row>
    <row r="56" spans="1:11" x14ac:dyDescent="0.35">
      <c r="A56" s="141" t="str">
        <f>IF('Response Form'!C139=0,"",'Response Form'!C139)</f>
        <v/>
      </c>
      <c r="B56">
        <f>IF('Response Form'!E139="",0,1)</f>
        <v>0</v>
      </c>
      <c r="C56">
        <f>IF('Response Form'!G139="",0,1)</f>
        <v>0</v>
      </c>
      <c r="D56">
        <f>IF('Response Form'!I139="",0,1)</f>
        <v>0</v>
      </c>
      <c r="E56">
        <f>IF('Response Form'!K139="",0,1)</f>
        <v>0</v>
      </c>
      <c r="F56">
        <f>IF('Response Form'!M139="",0,1)</f>
        <v>0</v>
      </c>
      <c r="G56">
        <f>IF('Response Form'!O139="",0,1)</f>
        <v>0</v>
      </c>
      <c r="H56">
        <f>IF('Response Form'!Q139="",0,1)</f>
        <v>0</v>
      </c>
      <c r="I56" s="18">
        <f t="shared" si="5"/>
        <v>0</v>
      </c>
      <c r="J56" t="str">
        <f t="shared" si="4"/>
        <v/>
      </c>
      <c r="K56" t="str">
        <f>IF(I56=0,"",IF(SUM(I57:$I$73)=1,", and ",IF(SUM(I57:$I$73)=0,". ",", ")))</f>
        <v/>
      </c>
    </row>
    <row r="57" spans="1:11" x14ac:dyDescent="0.35">
      <c r="A57" s="141" t="str">
        <f>IF('Response Form'!C140=0,"",'Response Form'!C140)</f>
        <v/>
      </c>
      <c r="B57">
        <f>IF('Response Form'!E140="",0,1)</f>
        <v>0</v>
      </c>
      <c r="C57">
        <f>IF('Response Form'!G140="",0,1)</f>
        <v>0</v>
      </c>
      <c r="D57">
        <f>IF('Response Form'!I140="",0,1)</f>
        <v>0</v>
      </c>
      <c r="E57">
        <f>IF('Response Form'!K140="",0,1)</f>
        <v>0</v>
      </c>
      <c r="F57">
        <f>IF('Response Form'!M140="",0,1)</f>
        <v>0</v>
      </c>
      <c r="G57">
        <f>IF('Response Form'!O140="",0,1)</f>
        <v>0</v>
      </c>
      <c r="H57">
        <f>IF('Response Form'!Q140="",0,1)</f>
        <v>0</v>
      </c>
      <c r="I57" s="18">
        <f t="shared" si="5"/>
        <v>0</v>
      </c>
      <c r="J57" t="str">
        <f t="shared" si="4"/>
        <v/>
      </c>
      <c r="K57" t="str">
        <f>IF(I57=0,"",IF(SUM(I58:$I$73)=1,", and ",IF(SUM(I58:$I$73)=0,". ",", ")))</f>
        <v/>
      </c>
    </row>
    <row r="58" spans="1:11" x14ac:dyDescent="0.35">
      <c r="A58" s="141" t="str">
        <f>IF('Response Form'!C141=0,"",'Response Form'!C141)</f>
        <v/>
      </c>
      <c r="B58">
        <f>IF('Response Form'!E141="",0,1)</f>
        <v>0</v>
      </c>
      <c r="C58">
        <f>IF('Response Form'!G141="",0,1)</f>
        <v>0</v>
      </c>
      <c r="D58">
        <f>IF('Response Form'!I141="",0,1)</f>
        <v>0</v>
      </c>
      <c r="E58">
        <f>IF('Response Form'!K141="",0,1)</f>
        <v>0</v>
      </c>
      <c r="F58">
        <f>IF('Response Form'!M141="",0,1)</f>
        <v>0</v>
      </c>
      <c r="G58">
        <f>IF('Response Form'!O141="",0,1)</f>
        <v>0</v>
      </c>
      <c r="H58">
        <f>IF('Response Form'!Q141="",0,1)</f>
        <v>0</v>
      </c>
      <c r="I58" s="18">
        <f t="shared" si="5"/>
        <v>0</v>
      </c>
      <c r="J58" t="str">
        <f t="shared" si="4"/>
        <v/>
      </c>
      <c r="K58" t="str">
        <f>IF(I58=0,"",IF(SUM(I59:$I$73)=1,", and ",IF(SUM(I59:$I$73)=0,". ",", ")))</f>
        <v/>
      </c>
    </row>
    <row r="59" spans="1:11" x14ac:dyDescent="0.35">
      <c r="A59" s="141" t="str">
        <f>IF('Response Form'!C142=0,"",'Response Form'!C142)</f>
        <v/>
      </c>
      <c r="B59">
        <f>IF('Response Form'!E142="",0,1)</f>
        <v>0</v>
      </c>
      <c r="C59">
        <f>IF('Response Form'!G142="",0,1)</f>
        <v>0</v>
      </c>
      <c r="D59">
        <f>IF('Response Form'!I142="",0,1)</f>
        <v>0</v>
      </c>
      <c r="E59">
        <f>IF('Response Form'!K142="",0,1)</f>
        <v>0</v>
      </c>
      <c r="F59">
        <f>IF('Response Form'!M142="",0,1)</f>
        <v>0</v>
      </c>
      <c r="G59">
        <f>IF('Response Form'!O142="",0,1)</f>
        <v>0</v>
      </c>
      <c r="H59">
        <f>IF('Response Form'!Q142="",0,1)</f>
        <v>0</v>
      </c>
      <c r="I59" s="18">
        <f t="shared" si="5"/>
        <v>0</v>
      </c>
      <c r="J59" t="str">
        <f t="shared" si="4"/>
        <v/>
      </c>
      <c r="K59" t="str">
        <f>IF(I59=0,"",IF(SUM(I60:$I$73)=1,", and ",IF(SUM(I60:$I$73)=0,". ",", ")))</f>
        <v/>
      </c>
    </row>
    <row r="60" spans="1:11" x14ac:dyDescent="0.35">
      <c r="A60" s="141" t="str">
        <f>IF('Response Form'!C143=0,"",'Response Form'!C143)</f>
        <v/>
      </c>
      <c r="B60">
        <f>IF('Response Form'!E143="",0,1)</f>
        <v>0</v>
      </c>
      <c r="C60">
        <f>IF('Response Form'!G143="",0,1)</f>
        <v>0</v>
      </c>
      <c r="D60">
        <f>IF('Response Form'!I143="",0,1)</f>
        <v>0</v>
      </c>
      <c r="E60">
        <f>IF('Response Form'!K143="",0,1)</f>
        <v>0</v>
      </c>
      <c r="F60">
        <f>IF('Response Form'!M143="",0,1)</f>
        <v>0</v>
      </c>
      <c r="G60">
        <f>IF('Response Form'!O143="",0,1)</f>
        <v>0</v>
      </c>
      <c r="H60">
        <f>IF('Response Form'!Q143="",0,1)</f>
        <v>0</v>
      </c>
      <c r="I60" s="18">
        <f t="shared" si="5"/>
        <v>0</v>
      </c>
      <c r="J60" t="str">
        <f t="shared" si="4"/>
        <v/>
      </c>
      <c r="K60" t="str">
        <f>IF(I60=0,"",IF(SUM(I61:$I$73)=1,", and ",IF(SUM(I61:$I$73)=0,". ",", ")))</f>
        <v/>
      </c>
    </row>
    <row r="61" spans="1:11" x14ac:dyDescent="0.35">
      <c r="A61" s="141" t="str">
        <f>IF('Response Form'!C144=0,"",'Response Form'!C144)</f>
        <v/>
      </c>
      <c r="B61">
        <f>IF('Response Form'!E144="",0,1)</f>
        <v>0</v>
      </c>
      <c r="C61">
        <f>IF('Response Form'!G144="",0,1)</f>
        <v>0</v>
      </c>
      <c r="D61">
        <f>IF('Response Form'!I144="",0,1)</f>
        <v>0</v>
      </c>
      <c r="E61">
        <f>IF('Response Form'!K144="",0,1)</f>
        <v>0</v>
      </c>
      <c r="F61">
        <f>IF('Response Form'!M144="",0,1)</f>
        <v>0</v>
      </c>
      <c r="G61">
        <f>IF('Response Form'!O144="",0,1)</f>
        <v>0</v>
      </c>
      <c r="H61">
        <f>IF('Response Form'!Q144="",0,1)</f>
        <v>0</v>
      </c>
      <c r="I61" s="18">
        <f t="shared" si="5"/>
        <v>0</v>
      </c>
      <c r="J61" t="str">
        <f t="shared" si="4"/>
        <v/>
      </c>
      <c r="K61" t="str">
        <f>IF(I61=0,"",IF(SUM(I62:$I$73)=1,", and ",IF(SUM(I62:$I$73)=0,". ",", ")))</f>
        <v/>
      </c>
    </row>
    <row r="62" spans="1:11" x14ac:dyDescent="0.35">
      <c r="A62" s="141" t="str">
        <f>IF('Response Form'!C145=0,"",'Response Form'!C145)</f>
        <v/>
      </c>
      <c r="B62">
        <f>IF('Response Form'!E145="",0,1)</f>
        <v>0</v>
      </c>
      <c r="C62">
        <f>IF('Response Form'!G145="",0,1)</f>
        <v>0</v>
      </c>
      <c r="D62">
        <f>IF('Response Form'!I145="",0,1)</f>
        <v>0</v>
      </c>
      <c r="E62">
        <f>IF('Response Form'!K145="",0,1)</f>
        <v>0</v>
      </c>
      <c r="F62">
        <f>IF('Response Form'!M145="",0,1)</f>
        <v>0</v>
      </c>
      <c r="G62">
        <f>IF('Response Form'!O145="",0,1)</f>
        <v>0</v>
      </c>
      <c r="H62">
        <f>IF('Response Form'!Q145="",0,1)</f>
        <v>0</v>
      </c>
      <c r="I62" s="18">
        <f t="shared" si="5"/>
        <v>0</v>
      </c>
      <c r="J62" t="str">
        <f t="shared" si="4"/>
        <v/>
      </c>
      <c r="K62" t="str">
        <f>IF(I62=0,"",IF(SUM(I63:$I$73)=1,", and ",IF(SUM(I63:$I$73)=0,". ",", ")))</f>
        <v/>
      </c>
    </row>
    <row r="63" spans="1:11" x14ac:dyDescent="0.35">
      <c r="A63" s="141" t="str">
        <f>IF('Response Form'!C146=0,"",'Response Form'!C146)</f>
        <v/>
      </c>
      <c r="B63">
        <f>IF('Response Form'!E146="",0,1)</f>
        <v>0</v>
      </c>
      <c r="C63">
        <f>IF('Response Form'!G146="",0,1)</f>
        <v>0</v>
      </c>
      <c r="D63">
        <f>IF('Response Form'!I146="",0,1)</f>
        <v>0</v>
      </c>
      <c r="E63">
        <f>IF('Response Form'!K146="",0,1)</f>
        <v>0</v>
      </c>
      <c r="F63">
        <f>IF('Response Form'!M146="",0,1)</f>
        <v>0</v>
      </c>
      <c r="G63">
        <f>IF('Response Form'!O146="",0,1)</f>
        <v>0</v>
      </c>
      <c r="H63">
        <f>IF('Response Form'!Q146="",0,1)</f>
        <v>0</v>
      </c>
      <c r="I63" s="18">
        <f t="shared" si="5"/>
        <v>0</v>
      </c>
      <c r="J63" t="str">
        <f t="shared" si="4"/>
        <v/>
      </c>
      <c r="K63" t="str">
        <f>IF(I63=0,"",IF(SUM(I64:$I$73)=1,", and ",IF(SUM(I64:$I$73)=0,". ",", ")))</f>
        <v/>
      </c>
    </row>
    <row r="64" spans="1:11" x14ac:dyDescent="0.35">
      <c r="A64" s="141" t="str">
        <f>IF('Response Form'!C147=0,"",'Response Form'!C147)</f>
        <v/>
      </c>
      <c r="B64">
        <f>IF('Response Form'!E147="",0,1)</f>
        <v>0</v>
      </c>
      <c r="C64">
        <f>IF('Response Form'!G147="",0,1)</f>
        <v>0</v>
      </c>
      <c r="D64">
        <f>IF('Response Form'!I147="",0,1)</f>
        <v>0</v>
      </c>
      <c r="E64">
        <f>IF('Response Form'!K147="",0,1)</f>
        <v>0</v>
      </c>
      <c r="F64">
        <f>IF('Response Form'!M147="",0,1)</f>
        <v>0</v>
      </c>
      <c r="G64">
        <f>IF('Response Form'!O147="",0,1)</f>
        <v>0</v>
      </c>
      <c r="H64">
        <f>IF('Response Form'!Q147="",0,1)</f>
        <v>0</v>
      </c>
      <c r="I64" s="18">
        <f t="shared" si="5"/>
        <v>0</v>
      </c>
      <c r="J64" t="str">
        <f t="shared" si="4"/>
        <v/>
      </c>
      <c r="K64" t="str">
        <f>IF(I64=0,"",IF(SUM(I65:$I$73)=1,", and ",IF(SUM(I65:$I$73)=0,". ",", ")))</f>
        <v/>
      </c>
    </row>
    <row r="65" spans="1:11" x14ac:dyDescent="0.35">
      <c r="A65" s="141" t="str">
        <f>IF('Response Form'!C148=0,"",'Response Form'!C148)</f>
        <v/>
      </c>
      <c r="B65">
        <f>IF('Response Form'!E148="",0,1)</f>
        <v>0</v>
      </c>
      <c r="C65">
        <f>IF('Response Form'!G148="",0,1)</f>
        <v>0</v>
      </c>
      <c r="D65">
        <f>IF('Response Form'!I148="",0,1)</f>
        <v>0</v>
      </c>
      <c r="E65">
        <f>IF('Response Form'!K148="",0,1)</f>
        <v>0</v>
      </c>
      <c r="F65">
        <f>IF('Response Form'!M148="",0,1)</f>
        <v>0</v>
      </c>
      <c r="G65">
        <f>IF('Response Form'!O148="",0,1)</f>
        <v>0</v>
      </c>
      <c r="H65">
        <f>IF('Response Form'!Q148="",0,1)</f>
        <v>0</v>
      </c>
      <c r="I65" s="18">
        <f t="shared" si="5"/>
        <v>0</v>
      </c>
      <c r="J65" t="str">
        <f t="shared" si="4"/>
        <v/>
      </c>
      <c r="K65" t="str">
        <f>IF(I65=0,"",IF(SUM(I66:$I$73)=1,", and ",IF(SUM(I66:$I$73)=0,". ",", ")))</f>
        <v/>
      </c>
    </row>
    <row r="66" spans="1:11" ht="18" thickBot="1" x14ac:dyDescent="0.4">
      <c r="A66" s="142" t="str">
        <f>IF('Response Form'!C149=0,"",'Response Form'!C149)</f>
        <v/>
      </c>
      <c r="B66">
        <f>IF('Response Form'!E149="",0,1)</f>
        <v>0</v>
      </c>
      <c r="C66">
        <f>IF('Response Form'!G149="",0,1)</f>
        <v>0</v>
      </c>
      <c r="D66">
        <f>IF('Response Form'!I149="",0,1)</f>
        <v>0</v>
      </c>
      <c r="E66">
        <f>IF('Response Form'!K149="",0,1)</f>
        <v>0</v>
      </c>
      <c r="F66">
        <f>IF('Response Form'!M149="",0,1)</f>
        <v>0</v>
      </c>
      <c r="G66">
        <f>IF('Response Form'!O149="",0,1)</f>
        <v>0</v>
      </c>
      <c r="H66">
        <f>IF('Response Form'!Q149="",0,1)</f>
        <v>0</v>
      </c>
      <c r="I66" s="18">
        <f t="shared" si="5"/>
        <v>0</v>
      </c>
      <c r="J66" t="str">
        <f t="shared" si="4"/>
        <v/>
      </c>
      <c r="K66" t="str">
        <f>IF(I66=0,"",IF(SUM(I67:$I$73)=1,", and ",IF(SUM(I67:$I$73)=0,". ",", ")))</f>
        <v/>
      </c>
    </row>
    <row r="67" spans="1:11" x14ac:dyDescent="0.35">
      <c r="A67" s="230" t="str">
        <f>'Response Form'!D124</f>
        <v>Coastal Inundation</v>
      </c>
      <c r="B67" s="233">
        <f>COUNTIF('Response Form'!E127:E149,"&lt;&gt;")</f>
        <v>0</v>
      </c>
      <c r="C67" s="233"/>
      <c r="D67" s="233"/>
      <c r="E67" s="233"/>
      <c r="F67" s="233"/>
      <c r="G67" s="233"/>
      <c r="H67" s="233"/>
      <c r="I67" s="219">
        <f t="shared" ref="I67:I73" si="6">IF(B67&gt;0,1,0)</f>
        <v>0</v>
      </c>
      <c r="J67" t="str">
        <f t="shared" si="4"/>
        <v/>
      </c>
      <c r="K67" t="str">
        <f>IF(I67=0,"",IF(SUM(I68:$I$73)=1,", and ",IF(SUM(I68:$I$73)=0,". ",", ")))</f>
        <v/>
      </c>
    </row>
    <row r="68" spans="1:11" x14ac:dyDescent="0.35">
      <c r="A68" s="231" t="str">
        <f>'Response Form'!F124</f>
        <v>Extreme Rainfall</v>
      </c>
      <c r="B68" s="233">
        <f>COUNTIF('Response Form'!G127:G149,"&lt;&gt;")</f>
        <v>0</v>
      </c>
      <c r="C68" s="233"/>
      <c r="D68" s="233"/>
      <c r="E68" s="233"/>
      <c r="F68" s="233"/>
      <c r="G68" s="233"/>
      <c r="H68" s="233"/>
      <c r="I68" s="219">
        <f t="shared" si="6"/>
        <v>0</v>
      </c>
      <c r="J68" t="str">
        <f t="shared" si="4"/>
        <v/>
      </c>
      <c r="K68" t="str">
        <f>IF(I68=0,"",IF(SUM(I69:$I$73)=1,", and ",IF(SUM(I69:$I$73)=0,". ",", ")))</f>
        <v/>
      </c>
    </row>
    <row r="69" spans="1:11" x14ac:dyDescent="0.35">
      <c r="A69" s="231" t="str">
        <f>'Response Form'!H124</f>
        <v>Tropical Cyclone</v>
      </c>
      <c r="B69" s="233">
        <f>COUNTIF('Response Form'!I127:I149,"&lt;&gt;")</f>
        <v>0</v>
      </c>
      <c r="C69" s="233"/>
      <c r="D69" s="233"/>
      <c r="E69" s="233"/>
      <c r="F69" s="233"/>
      <c r="G69" s="233"/>
      <c r="H69" s="233"/>
      <c r="I69" s="219">
        <f t="shared" si="6"/>
        <v>0</v>
      </c>
      <c r="J69" t="str">
        <f t="shared" si="4"/>
        <v/>
      </c>
      <c r="K69" t="str">
        <f>IF(I69=0,"",IF(SUM(I70:$I$73)=1,", and ",IF(SUM(I70:$I$73)=0,". ",", ")))</f>
        <v/>
      </c>
    </row>
    <row r="70" spans="1:11" x14ac:dyDescent="0.35">
      <c r="A70" s="231" t="str">
        <f>'Response Form'!J124</f>
        <v>Drought</v>
      </c>
      <c r="B70" s="233">
        <f>COUNTIF('Response Form'!K127:K149,"&lt;&gt;")</f>
        <v>0</v>
      </c>
      <c r="C70" s="233"/>
      <c r="D70" s="233"/>
      <c r="E70" s="233"/>
      <c r="F70" s="233"/>
      <c r="G70" s="233"/>
      <c r="H70" s="233"/>
      <c r="I70" s="219">
        <f t="shared" si="6"/>
        <v>0</v>
      </c>
      <c r="J70" t="str">
        <f t="shared" si="4"/>
        <v/>
      </c>
      <c r="K70" t="str">
        <f>IF(I70=0,"",IF(SUM(I71:$I$73)=1,", and ",IF(SUM(I71:$I$73)=0,". ",", ")))</f>
        <v/>
      </c>
    </row>
    <row r="71" spans="1:11" x14ac:dyDescent="0.35">
      <c r="A71" s="231" t="str">
        <f>'Response Form'!L124</f>
        <v>Marine Heat Waves</v>
      </c>
      <c r="B71" s="233">
        <f>COUNTIF('Response Form'!M127:M149,"&lt;&gt;")</f>
        <v>0</v>
      </c>
      <c r="C71" s="233"/>
      <c r="D71" s="233"/>
      <c r="E71" s="233"/>
      <c r="F71" s="233"/>
      <c r="G71" s="233"/>
      <c r="H71" s="233"/>
      <c r="I71" s="219">
        <f t="shared" si="6"/>
        <v>0</v>
      </c>
      <c r="J71" t="str">
        <f t="shared" si="4"/>
        <v/>
      </c>
      <c r="K71" t="str">
        <f>IF(I71=0,"",IF(SUM(I72:$I$73)=1,", and ",IF(SUM(I72:$I$73)=0,". ",", ")))</f>
        <v/>
      </c>
    </row>
    <row r="72" spans="1:11" x14ac:dyDescent="0.35">
      <c r="A72" s="231" t="str">
        <f>'Response Form'!N124</f>
        <v>Ocean Acidification</v>
      </c>
      <c r="B72" s="233">
        <f>COUNTIF('Response Form'!O127:O149,"&lt;&gt;")</f>
        <v>0</v>
      </c>
      <c r="C72" s="233"/>
      <c r="D72" s="233"/>
      <c r="E72" s="233"/>
      <c r="F72" s="233"/>
      <c r="G72" s="233"/>
      <c r="H72" s="233"/>
      <c r="I72" s="219">
        <f t="shared" si="6"/>
        <v>0</v>
      </c>
      <c r="J72" t="str">
        <f t="shared" si="4"/>
        <v/>
      </c>
      <c r="K72" t="str">
        <f>IF(I72=0,"",IF(SUM(I73:$I$73)=1,", and ",IF(SUM(I73:$I$73)=0,". ",", ")))</f>
        <v/>
      </c>
    </row>
    <row r="73" spans="1:11" ht="18" thickBot="1" x14ac:dyDescent="0.4">
      <c r="A73" s="232" t="str">
        <f>'Response Form'!P124</f>
        <v>Extreme Temperature</v>
      </c>
      <c r="B73" s="233">
        <f>COUNTIF('Response Form'!O127:O149,"&lt;&gt;")</f>
        <v>0</v>
      </c>
      <c r="C73" s="233"/>
      <c r="D73" s="233"/>
      <c r="E73" s="233"/>
      <c r="F73" s="233"/>
      <c r="G73" s="233"/>
      <c r="H73" s="233"/>
      <c r="I73" s="219">
        <f t="shared" si="6"/>
        <v>0</v>
      </c>
      <c r="J73" t="str">
        <f t="shared" si="4"/>
        <v/>
      </c>
      <c r="K73" t="str">
        <f>IF(I73=0,"",". ")</f>
        <v/>
      </c>
    </row>
  </sheetData>
  <mergeCells count="1">
    <mergeCell ref="L44:M48"/>
  </mergeCells>
  <pageMargins left="0.7" right="0.7" top="0.75" bottom="0.75" header="0.3" footer="0.3"/>
  <pageSetup paperSize="256"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3 f 0 5 5 f 3 4 - 1 9 3 6 - 4 8 d 5 - b 1 d 1 - 5 3 2 6 0 4 8 9 0 d 6 d "   x m l n s = " h t t p : / / s c h e m a s . m i c r o s o f t . c o m / D a t a M a s h u p " > A A A A A B U D A A B Q S w M E F A A C A A g A G V B v V 8 f l L I + l A A A A 9 w A A A B I A H A B D b 2 5 m a W c v U G F j a 2 F n Z S 5 4 b W w g o h g A K K A U A A A A A A A A A A A A A A A A A A A A A A A A A A A A h Y + 9 D o I w H M R f h X S n X z g Y 8 q c M r m J M T I x x a 2 q F R i i G F s u 7 O f h I v o I Y R d 0 c 7 + 5 3 y d 3 9 e o N 8 a O r o o j t n W p s h h i m K t F X t w d g y Q 7 0 / x n O U C 1 h L d Z K l j k b Y u n R w J k O V 9 + e U k B A C D g l u u 5 J w S h n Z F c u N q n Q j Y 2 O d l 1 Z p 9 G k d / r e Q g O 1 r j O C Y s R n m n C e Y A p l c K I z 9 E n w c / E x / T F j 0 t e 8 7 L b S N V 3 s g k w T y P i E e U E s D B B Q A A g A I A B l Q b 1 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Z U G 9 X K I p H u A 4 A A A A R A A A A E w A c A E Z v c m 1 1 b G F z L 1 N l Y 3 R p b 2 4 x L m 0 g o h g A K K A U A A A A A A A A A A A A A A A A A A A A A A A A A A A A K 0 5 N L s n M z 1 M I h t C G 1 g B Q S w E C L Q A U A A I A C A A Z U G 9 X x + U s j 6 U A A A D 3 A A A A E g A A A A A A A A A A A A A A A A A A A A A A Q 2 9 u Z m l n L 1 B h Y 2 t h Z 2 U u e G 1 s U E s B A i 0 A F A A C A A g A G V B v V w / K 6 a u k A A A A 6 Q A A A B M A A A A A A A A A A A A A A A A A 8 Q A A A F t D b 2 5 0 Z W 5 0 X 1 R 5 c G V z X S 5 4 b W x Q S w E C L Q A U A A I A C A A Z U G 9 X 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p I + t d e f f C U C i R z j X n m W W R g A A A A A C A A A A A A A D Z g A A w A A A A B A A A A B T T E 0 l G X 9 X F m 5 + B S S B u M G L A A A A A A S A A A C g A A A A E A A A A F J o o / + i m P g L N Z C i q y Z R Y P B Q A A A A T 0 j j z b Y b G / J p T f t v V Z 1 S b 1 q 4 r X H m g / E p 6 I J 1 9 G I 5 H 7 W v v f c l s k Y U j E i H d b 5 W Y 0 6 D f u 2 q V A p / e b Z C 6 P 5 3 U X d J V 5 M P d E V T c c L V l q / 1 u k 6 a H / g U A A A A q s 2 C P t F g F W O q m H T Y s v S m F w + / Y 8 0 = < / D a t a M a s h u p > 
</file>

<file path=customXml/item2.xml><?xml version="1.0" encoding="utf-8"?>
<ct:contentTypeSchema xmlns:ct="http://schemas.microsoft.com/office/2006/metadata/contentType" xmlns:ma="http://schemas.microsoft.com/office/2006/metadata/properties/metaAttributes" ct:_="" ma:_="" ma:contentTypeName="Project Document" ma:contentTypeID="0x010100D532864B185DA9449EDD0B0960560F4201001D7BB7A731B5A2448AF09AAFD4C8DEE2" ma:contentTypeVersion="47" ma:contentTypeDescription="" ma:contentTypeScope="" ma:versionID="1cd1402512a19821ff03939f99f009d5">
  <xsd:schema xmlns:xsd="http://www.w3.org/2001/XMLSchema" xmlns:xs="http://www.w3.org/2001/XMLSchema" xmlns:p="http://schemas.microsoft.com/office/2006/metadata/properties" xmlns:ns2="f98a07d3-3acd-4ee3-9d93-7080040a6e9f" xmlns:ns3="7531ee6d-c67c-475b-82bc-7ac77223f644" xmlns:ns4="07ac1b71-0aba-446e-be66-398fa84c8620" xmlns:ns5="50e17bcc-d7b7-459f-990b-1cd6f4156261" xmlns:ns6="53ce5673-6492-4a7d-a202-0d2272a2389d" targetNamespace="http://schemas.microsoft.com/office/2006/metadata/properties" ma:root="true" ma:fieldsID="a42f8be5a07941209560a58c036cd1fc" ns2:_="" ns3:_="" ns4:_="" ns5:_="" ns6:_="">
    <xsd:import namespace="f98a07d3-3acd-4ee3-9d93-7080040a6e9f"/>
    <xsd:import namespace="7531ee6d-c67c-475b-82bc-7ac77223f644"/>
    <xsd:import namespace="07ac1b71-0aba-446e-be66-398fa84c8620"/>
    <xsd:import namespace="50e17bcc-d7b7-459f-990b-1cd6f4156261"/>
    <xsd:import namespace="53ce5673-6492-4a7d-a202-0d2272a2389d"/>
    <xsd:element name="properties">
      <xsd:complexType>
        <xsd:sequence>
          <xsd:element name="documentManagement">
            <xsd:complexType>
              <xsd:all>
                <xsd:element ref="ns2:ProjectActivity" minOccurs="0"/>
                <xsd:element ref="ns3:OnBehalfOf" minOccurs="0"/>
                <xsd:element ref="ns3:Revision_x0020_Number" minOccurs="0"/>
                <xsd:element ref="ns4:DMSPartnerContractor" minOccurs="0"/>
                <xsd:element ref="ns4:DMSIssuedReceivedDate" minOccurs="0"/>
                <xsd:element ref="ns3:i6868cce13be458ea4785981c51cf29b" minOccurs="0"/>
                <xsd:element ref="ns3:p0cab2939f7147a2b9c52663a6dfd4fc" minOccurs="0"/>
                <xsd:element ref="ns3:lc758cec76a64fcfa430cac142113778" minOccurs="0"/>
                <xsd:element ref="ns3:Job_x0020_Number" minOccurs="0"/>
                <xsd:element ref="ns3:Client_x0020_Company" minOccurs="0"/>
                <xsd:element ref="ns3:Job_x0020_Name" minOccurs="0"/>
                <xsd:element ref="ns3:ife4c8ad6dc64b789ceedee1a97d65db" minOccurs="0"/>
                <xsd:element ref="ns3:pdfc03f430814220a5667e259096fb63" minOccurs="0"/>
                <xsd:element ref="ns3:facda832a42b4278b830f1255b4c0b1a" minOccurs="0"/>
                <xsd:element ref="ns3:DMSProjectCountry" minOccurs="0"/>
                <xsd:element ref="ns3:DMSProjectRegion" minOccurs="0"/>
                <xsd:element ref="ns3:DMSParentJobId" minOccurs="0"/>
                <xsd:element ref="ns5:m6ae419f5d6b4b9eb3449c699ee8b387" minOccurs="0"/>
                <xsd:element ref="ns5:gc22440bfbde4c779362ff18c49baec7" minOccurs="0"/>
                <xsd:element ref="ns2:TaxCatchAllLabel" minOccurs="0"/>
                <xsd:element ref="ns2:TaxCatchAll" minOccurs="0"/>
                <xsd:element ref="ns2:_dlc_DocIdUrl" minOccurs="0"/>
                <xsd:element ref="ns2:_dlc_DocIdPersistId" minOccurs="0"/>
                <xsd:element ref="ns2:_dlc_DocId" minOccurs="0"/>
                <xsd:element ref="ns2:Phase_x003a_Phase" minOccurs="0"/>
                <xsd:element ref="ns2:Phase_x003a_WorkPackage" minOccurs="0"/>
                <xsd:element ref="ns6:MediaServiceMetadata" minOccurs="0"/>
                <xsd:element ref="ns6:MediaServiceFastMetadata" minOccurs="0"/>
                <xsd:element ref="ns2:SharedWithUsers" minOccurs="0"/>
                <xsd:element ref="ns2:SharedWithDetails" minOccurs="0"/>
                <xsd:element ref="ns6:MediaServiceObjectDetectorVersions" minOccurs="0"/>
                <xsd:element ref="ns6:lcf76f155ced4ddcb4097134ff3c332f" minOccurs="0"/>
                <xsd:element ref="ns6:MediaServiceOCR" minOccurs="0"/>
                <xsd:element ref="ns6:MediaServiceGenerationTime" minOccurs="0"/>
                <xsd:element ref="ns6:MediaServiceEventHashCode" minOccurs="0"/>
                <xsd:element ref="ns6:MediaServiceDateTaken" minOccurs="0"/>
                <xsd:element ref="ns6:MediaLengthInSecond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8a07d3-3acd-4ee3-9d93-7080040a6e9f" elementFormDefault="qualified">
    <xsd:import namespace="http://schemas.microsoft.com/office/2006/documentManagement/types"/>
    <xsd:import namespace="http://schemas.microsoft.com/office/infopath/2007/PartnerControls"/>
    <xsd:element name="ProjectActivity" ma:index="3" nillable="true" ma:displayName="Phase" ma:description="Describe the WP or part of the Project the document relates to" ma:indexed="true" ma:list="{6f034301-aaa6-4327-b67f-3e21a7c7ef0a}" ma:internalName="ProjectActivity" ma:showField="Title" ma:web="f98a07d3-3acd-4ee3-9d93-7080040a6e9f">
      <xsd:simpleType>
        <xsd:restriction base="dms:Lookup"/>
      </xsd:simpleType>
    </xsd:element>
    <xsd:element name="TaxCatchAllLabel" ma:index="34" nillable="true" ma:displayName="Taxonomy Catch All Column1" ma:hidden="true" ma:list="{6337a845-7732-4ab5-ad33-c7f2908120ae}" ma:internalName="TaxCatchAllLabel" ma:readOnly="true" ma:showField="CatchAllDataLabel" ma:web="f98a07d3-3acd-4ee3-9d93-7080040a6e9f">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Taxonomy Catch All Column" ma:hidden="true" ma:list="{6337a845-7732-4ab5-ad33-c7f2908120ae}" ma:internalName="TaxCatchAll" ma:showField="CatchAllData" ma:web="f98a07d3-3acd-4ee3-9d93-7080040a6e9f">
      <xsd:complexType>
        <xsd:complexContent>
          <xsd:extension base="dms:MultiChoiceLookup">
            <xsd:sequence>
              <xsd:element name="Value" type="dms:Lookup" maxOccurs="unbounded" minOccurs="0" nillable="true"/>
            </xsd:sequence>
          </xsd:extension>
        </xsd:complexContent>
      </xsd:complexType>
    </xsd:element>
    <xsd:element name="_dlc_DocIdUrl" ma:index="3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_dlc_DocId" ma:index="38" nillable="true" ma:displayName="Document ID Value" ma:description="The value of the document ID assigned to this item." ma:indexed="true" ma:internalName="_dlc_DocId" ma:readOnly="true">
      <xsd:simpleType>
        <xsd:restriction base="dms:Text"/>
      </xsd:simpleType>
    </xsd:element>
    <xsd:element name="Phase_x003a_Phase" ma:index="40" nillable="true" ma:displayName="Phase" ma:list="{6f034301-aaa6-4327-b67f-3e21a7c7ef0a}" ma:internalName="Phase_x003A_Phase" ma:readOnly="true" ma:showField="Phase" ma:web="f98a07d3-3acd-4ee3-9d93-7080040a6e9f">
      <xsd:simpleType>
        <xsd:restriction base="dms:Lookup"/>
      </xsd:simpleType>
    </xsd:element>
    <xsd:element name="Phase_x003a_WorkPackage" ma:index="41" nillable="true" ma:displayName="Work Package" ma:list="{6f034301-aaa6-4327-b67f-3e21a7c7ef0a}" ma:internalName="Phase_x003A_WorkPackage" ma:readOnly="true" ma:showField="WorkPackage" ma:web="f98a07d3-3acd-4ee3-9d93-7080040a6e9f">
      <xsd:simpleType>
        <xsd:restriction base="dms:Lookup"/>
      </xsd:simpleType>
    </xsd:element>
    <xsd:element name="SharedWithUsers" ma:index="4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31ee6d-c67c-475b-82bc-7ac77223f644" elementFormDefault="qualified">
    <xsd:import namespace="http://schemas.microsoft.com/office/2006/documentManagement/types"/>
    <xsd:import namespace="http://schemas.microsoft.com/office/infopath/2007/PartnerControls"/>
    <xsd:element name="OnBehalfOf" ma:index="5" nillable="true" ma:displayName="On Behalf Of" ma:list="UserInfo" ma:SharePointGroup="0" ma:internalName="OnBehalfOf"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sion_x0020_Number" ma:index="6" nillable="true" ma:displayName="Revision Number" ma:description="External Ref - complete as required" ma:internalName="Revision_x0020_Number">
      <xsd:simpleType>
        <xsd:restriction base="dms:Text">
          <xsd:maxLength value="255"/>
        </xsd:restriction>
      </xsd:simpleType>
    </xsd:element>
    <xsd:element name="i6868cce13be458ea4785981c51cf29b" ma:index="13" nillable="true" ma:taxonomy="true" ma:internalName="i6868cce13be458ea4785981c51cf29b" ma:taxonomyFieldName="Revision_x0020_Stamp" ma:displayName="Deliverable Stamp" ma:default="" ma:fieldId="{26868cce-13be-458e-a478-5981c51cf29b}" ma:sspId="59eaabf2-d794-4e78-86bb-992376d6023a" ma:termSetId="17dd591c-18ae-49c8-b5de-0a5befddb953" ma:anchorId="00000000-0000-0000-0000-000000000000" ma:open="false" ma:isKeyword="false">
      <xsd:complexType>
        <xsd:sequence>
          <xsd:element ref="pc:Terms" minOccurs="0" maxOccurs="1"/>
        </xsd:sequence>
      </xsd:complexType>
    </xsd:element>
    <xsd:element name="p0cab2939f7147a2b9c52663a6dfd4fc" ma:index="15" nillable="true" ma:taxonomy="true" ma:internalName="p0cab2939f7147a2b9c52663a6dfd4fc" ma:taxonomyFieldName="Originator" ma:displayName="Source Organisation" ma:default="1;#Beca|a9bbb40e-5fed-4cc0-bdb5-0fb463d1eb14" ma:fieldId="{90cab293-9f71-47a2-b9c5-2663a6dfd4fc}" ma:sspId="59eaabf2-d794-4e78-86bb-992376d6023a" ma:termSetId="dc6f6e38-0527-4a6a-896e-b0d8441eca21" ma:anchorId="00000000-0000-0000-0000-000000000000" ma:open="false" ma:isKeyword="false">
      <xsd:complexType>
        <xsd:sequence>
          <xsd:element ref="pc:Terms" minOccurs="0" maxOccurs="1"/>
        </xsd:sequence>
      </xsd:complexType>
    </xsd:element>
    <xsd:element name="lc758cec76a64fcfa430cac142113778" ma:index="16" nillable="true" ma:taxonomy="true" ma:internalName="lc758cec76a64fcfa430cac142113778" ma:taxonomyFieldName="Discipline" ma:displayName="Discipline" ma:indexed="true" ma:default="" ma:fieldId="{5c758cec-76a6-4fcf-a430-cac142113778}" ma:sspId="59eaabf2-d794-4e78-86bb-992376d6023a" ma:termSetId="fd15f6fb-ca54-488c-8028-926dbf1e4014" ma:anchorId="00000000-0000-0000-0000-000000000000" ma:open="false" ma:isKeyword="false">
      <xsd:complexType>
        <xsd:sequence>
          <xsd:element ref="pc:Terms" minOccurs="0" maxOccurs="1"/>
        </xsd:sequence>
      </xsd:complexType>
    </xsd:element>
    <xsd:element name="Job_x0020_Number" ma:index="17" nillable="true" ma:displayName="Job Number" ma:hidden="true" ma:internalName="Job_x0020_Number" ma:readOnly="false">
      <xsd:simpleType>
        <xsd:restriction base="dms:Text">
          <xsd:maxLength value="255"/>
        </xsd:restriction>
      </xsd:simpleType>
    </xsd:element>
    <xsd:element name="Client_x0020_Company" ma:index="18" nillable="true" ma:displayName="Client Company" ma:hidden="true" ma:internalName="Client_x0020_Company" ma:readOnly="false">
      <xsd:simpleType>
        <xsd:restriction base="dms:Text">
          <xsd:maxLength value="255"/>
        </xsd:restriction>
      </xsd:simpleType>
    </xsd:element>
    <xsd:element name="Job_x0020_Name" ma:index="19" nillable="true" ma:displayName="Job Name" ma:hidden="true" ma:internalName="Job_x0020_Name" ma:readOnly="false">
      <xsd:simpleType>
        <xsd:restriction base="dms:Text">
          <xsd:maxLength value="255"/>
        </xsd:restriction>
      </xsd:simpleType>
    </xsd:element>
    <xsd:element name="ife4c8ad6dc64b789ceedee1a97d65db" ma:index="21" nillable="true" ma:taxonomy="true" ma:internalName="ife4c8ad6dc64b789ceedee1a97d65db" ma:taxonomyFieldName="OwningCompany" ma:displayName="Owning Company" ma:readOnly="false" ma:default="" ma:fieldId="{2fe4c8ad-6dc6-4b78-9cee-dee1a97d65db}" ma:sspId="59eaabf2-d794-4e78-86bb-992376d6023a" ma:termSetId="006bedf8-5395-4b5f-80c3-70449bc4ffdf" ma:anchorId="00000000-0000-0000-0000-000000000000" ma:open="false" ma:isKeyword="false">
      <xsd:complexType>
        <xsd:sequence>
          <xsd:element ref="pc:Terms" minOccurs="0" maxOccurs="1"/>
        </xsd:sequence>
      </xsd:complexType>
    </xsd:element>
    <xsd:element name="pdfc03f430814220a5667e259096fb63" ma:index="23" nillable="true" ma:taxonomy="true" ma:internalName="pdfc03f430814220a5667e259096fb63" ma:taxonomyFieldName="Document_x0020_Status" ma:displayName="Document Status" ma:indexed="true" ma:readOnly="false" ma:fieldId="{9dfc03f4-3081-4220-a566-7e259096fb63}" ma:sspId="59eaabf2-d794-4e78-86bb-992376d6023a" ma:termSetId="53875cd7-e5f7-4a88-9f58-2811d8fcdc84" ma:anchorId="00000000-0000-0000-0000-000000000000" ma:open="false" ma:isKeyword="false">
      <xsd:complexType>
        <xsd:sequence>
          <xsd:element ref="pc:Terms" minOccurs="0" maxOccurs="1"/>
        </xsd:sequence>
      </xsd:complexType>
    </xsd:element>
    <xsd:element name="facda832a42b4278b830f1255b4c0b1a" ma:index="25" nillable="true" ma:taxonomy="true" ma:internalName="facda832a42b4278b830f1255b4c0b1a" ma:taxonomyFieldName="DMSProjectDocumentType" ma:displayName="Document Type" ma:indexed="true" ma:default="" ma:fieldId="{facda832-a42b-4278-b830-f1255b4c0b1a}" ma:sspId="59eaabf2-d794-4e78-86bb-992376d6023a" ma:termSetId="3712af3a-154e-424a-8f27-07ae9fc8dd7c" ma:anchorId="00000000-0000-0000-0000-000000000000" ma:open="false" ma:isKeyword="false">
      <xsd:complexType>
        <xsd:sequence>
          <xsd:element ref="pc:Terms" minOccurs="0" maxOccurs="1"/>
        </xsd:sequence>
      </xsd:complexType>
    </xsd:element>
    <xsd:element name="DMSProjectCountry" ma:index="27" nillable="true" ma:displayName="Project Country" ma:hidden="true" ma:internalName="DMSProjectCountry" ma:readOnly="false">
      <xsd:simpleType>
        <xsd:restriction base="dms:Text">
          <xsd:maxLength value="255"/>
        </xsd:restriction>
      </xsd:simpleType>
    </xsd:element>
    <xsd:element name="DMSProjectRegion" ma:index="28" nillable="true" ma:displayName="Project Region" ma:hidden="true" ma:internalName="DMSProjectRegion" ma:readOnly="false">
      <xsd:simpleType>
        <xsd:restriction base="dms:Text">
          <xsd:maxLength value="255"/>
        </xsd:restriction>
      </xsd:simpleType>
    </xsd:element>
    <xsd:element name="DMSParentJobId" ma:index="29" nillable="true" ma:displayName="Parent Job Id" ma:hidden="true" ma:indexed="true" ma:internalName="DMSParentJob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7ac1b71-0aba-446e-be66-398fa84c8620" elementFormDefault="qualified">
    <xsd:import namespace="http://schemas.microsoft.com/office/2006/documentManagement/types"/>
    <xsd:import namespace="http://schemas.microsoft.com/office/infopath/2007/PartnerControls"/>
    <xsd:element name="DMSPartnerContractor" ma:index="9" nillable="true" ma:displayName="Partner / Contractor" ma:default="N/A" ma:description="Add partners to this Choice list, as per project requirements" ma:format="Dropdown" ma:indexed="true" ma:internalName="DMSPartnerContractor">
      <xsd:simpleType>
        <xsd:restriction base="dms:Choice">
          <xsd:enumeration value="N/A"/>
        </xsd:restriction>
      </xsd:simpleType>
    </xsd:element>
    <xsd:element name="DMSIssuedReceivedDate" ma:index="10" nillable="true" ma:displayName="Issued / Received Date" ma:description="Date files issued or received" ma:format="DateOnly" ma:indexed="true" ma:internalName="DMSIssuedReceived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0e17bcc-d7b7-459f-990b-1cd6f4156261" elementFormDefault="qualified">
    <xsd:import namespace="http://schemas.microsoft.com/office/2006/documentManagement/types"/>
    <xsd:import namespace="http://schemas.microsoft.com/office/infopath/2007/PartnerControls"/>
    <xsd:element name="m6ae419f5d6b4b9eb3449c699ee8b387" ma:index="30" nillable="true" ma:taxonomy="true" ma:internalName="m6ae419f5d6b4b9eb3449c699ee8b387" ma:taxonomyFieldName="DMSMarketSegmentV2" ma:displayName="Market Segment" ma:readOnly="false" ma:default="" ma:fieldId="{66ae419f-5d6b-4b9e-b344-9c699ee8b387}" ma:sspId="59eaabf2-d794-4e78-86bb-992376d6023a" ma:termSetId="bb1e2ad4-5136-4e34-9032-2bd929c43721" ma:anchorId="00000000-0000-0000-0000-000000000000" ma:open="false" ma:isKeyword="false">
      <xsd:complexType>
        <xsd:sequence>
          <xsd:element ref="pc:Terms" minOccurs="0" maxOccurs="1"/>
        </xsd:sequence>
      </xsd:complexType>
    </xsd:element>
    <xsd:element name="gc22440bfbde4c779362ff18c49baec7" ma:index="32" nillable="true" ma:taxonomy="true" ma:internalName="gc22440bfbde4c779362ff18c49baec7" ma:taxonomyFieldName="DMSOwningSection" ma:displayName="Owning Section" ma:readOnly="false" ma:default="" ma:fieldId="{0c22440b-fbde-4c77-9362-ff18c49baec7}" ma:sspId="59eaabf2-d794-4e78-86bb-992376d6023a" ma:termSetId="d4744c90-e617-488e-8798-9db7a396f94c"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3ce5673-6492-4a7d-a202-0d2272a2389d" elementFormDefault="qualified">
    <xsd:import namespace="http://schemas.microsoft.com/office/2006/documentManagement/types"/>
    <xsd:import namespace="http://schemas.microsoft.com/office/infopath/2007/PartnerControls"/>
    <xsd:element name="MediaServiceMetadata" ma:index="42" nillable="true" ma:displayName="MediaServiceMetadata" ma:hidden="true" ma:internalName="MediaServiceMetadata" ma:readOnly="true">
      <xsd:simpleType>
        <xsd:restriction base="dms:Note"/>
      </xsd:simpleType>
    </xsd:element>
    <xsd:element name="MediaServiceFastMetadata" ma:index="43" nillable="true" ma:displayName="MediaServiceFastMetadata" ma:hidden="true" ma:internalName="MediaServiceFastMetadata" ma:readOnly="true">
      <xsd:simpleType>
        <xsd:restriction base="dms:Note"/>
      </xsd:simpleType>
    </xsd:element>
    <xsd:element name="MediaServiceObjectDetectorVersions" ma:index="46" nillable="true" ma:displayName="MediaServiceObjectDetectorVersions" ma:hidden="true" ma:indexed="true" ma:internalName="MediaServiceObjectDetectorVersions" ma:readOnly="true">
      <xsd:simpleType>
        <xsd:restriction base="dms:Text"/>
      </xsd:simpleType>
    </xsd:element>
    <xsd:element name="lcf76f155ced4ddcb4097134ff3c332f" ma:index="48" nillable="true" ma:taxonomy="true" ma:internalName="lcf76f155ced4ddcb4097134ff3c332f" ma:taxonomyFieldName="MediaServiceImageTags" ma:displayName="Image Tags" ma:readOnly="false" ma:fieldId="{5cf76f15-5ced-4ddc-b409-7134ff3c332f}" ma:taxonomyMulti="true" ma:sspId="59eaabf2-d794-4e78-86bb-992376d6023a" ma:termSetId="09814cd3-568e-fe90-9814-8d621ff8fb84" ma:anchorId="fba54fb3-c3e1-fe81-a776-ca4b69148c4d" ma:open="true" ma:isKeyword="false">
      <xsd:complexType>
        <xsd:sequence>
          <xsd:element ref="pc:Terms" minOccurs="0" maxOccurs="1"/>
        </xsd:sequence>
      </xsd:complexType>
    </xsd:element>
    <xsd:element name="MediaServiceOCR" ma:index="49" nillable="true" ma:displayName="Extracted Text" ma:internalName="MediaServiceOCR" ma:readOnly="true">
      <xsd:simpleType>
        <xsd:restriction base="dms:Note">
          <xsd:maxLength value="255"/>
        </xsd:restriction>
      </xsd:simpleType>
    </xsd:element>
    <xsd:element name="MediaServiceGenerationTime" ma:index="50" nillable="true" ma:displayName="MediaServiceGenerationTime" ma:hidden="true" ma:internalName="MediaServiceGenerationTime" ma:readOnly="true">
      <xsd:simpleType>
        <xsd:restriction base="dms:Text"/>
      </xsd:simpleType>
    </xsd:element>
    <xsd:element name="MediaServiceEventHashCode" ma:index="51" nillable="true" ma:displayName="MediaServiceEventHashCode" ma:hidden="true" ma:internalName="MediaServiceEventHashCode" ma:readOnly="true">
      <xsd:simpleType>
        <xsd:restriction base="dms:Text"/>
      </xsd:simpleType>
    </xsd:element>
    <xsd:element name="MediaServiceDateTaken" ma:index="52" nillable="true" ma:displayName="MediaServiceDateTaken" ma:hidden="true" ma:indexed="true" ma:internalName="MediaServiceDateTaken" ma:readOnly="true">
      <xsd:simpleType>
        <xsd:restriction base="dms:Text"/>
      </xsd:simpleType>
    </xsd:element>
    <xsd:element name="MediaLengthInSeconds" ma:index="53" nillable="true" ma:displayName="MediaLengthInSeconds" ma:hidden="true" ma:internalName="MediaLengthInSeconds" ma:readOnly="true">
      <xsd:simpleType>
        <xsd:restriction base="dms:Unknown"/>
      </xsd:simpleType>
    </xsd:element>
    <xsd:element name="MediaServiceSearchProperties" ma:index="5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acda832a42b4278b830f1255b4c0b1a xmlns="7531ee6d-c67c-475b-82bc-7ac77223f644">
      <Terms xmlns="http://schemas.microsoft.com/office/infopath/2007/PartnerControls"/>
    </facda832a42b4278b830f1255b4c0b1a>
    <gc22440bfbde4c779362ff18c49baec7 xmlns="50e17bcc-d7b7-459f-990b-1cd6f4156261">
      <Terms xmlns="http://schemas.microsoft.com/office/infopath/2007/PartnerControls">
        <TermInfo xmlns="http://schemas.microsoft.com/office/infopath/2007/PartnerControls">
          <TermName xmlns="http://schemas.microsoft.com/office/infopath/2007/PartnerControls">421 - Auckland Environments - BL</TermName>
          <TermId xmlns="http://schemas.microsoft.com/office/infopath/2007/PartnerControls">bfc40305-2148-446e-bae1-27bee969c12a</TermId>
        </TermInfo>
      </Terms>
    </gc22440bfbde4c779362ff18c49baec7>
    <DMSProjectRegion xmlns="7531ee6d-c67c-475b-82bc-7ac77223f644">Auckland</DMSProjectRegion>
    <DMSPartnerContractor xmlns="07ac1b71-0aba-446e-be66-398fa84c8620">N/A</DMSPartnerContractor>
    <DMSProjectCountry xmlns="7531ee6d-c67c-475b-82bc-7ac77223f644">New Zealand</DMSProjectCountry>
    <m6ae419f5d6b4b9eb3449c699ee8b387 xmlns="50e17bcc-d7b7-459f-990b-1cd6f4156261">
      <Terms xmlns="http://schemas.microsoft.com/office/infopath/2007/PartnerControls">
        <TermInfo xmlns="http://schemas.microsoft.com/office/infopath/2007/PartnerControls">
          <TermName xmlns="http://schemas.microsoft.com/office/infopath/2007/PartnerControls">Central Government (Non Segment+)</TermName>
          <TermId xmlns="http://schemas.microsoft.com/office/infopath/2007/PartnerControls">8f385166-2b76-4f05-8f8e-15a56cacc311</TermId>
        </TermInfo>
      </Terms>
    </m6ae419f5d6b4b9eb3449c699ee8b387>
    <Client_x0020_Company xmlns="7531ee6d-c67c-475b-82bc-7ac77223f644">Auckland Council</Client_x0020_Company>
    <ife4c8ad6dc64b789ceedee1a97d65db xmlns="7531ee6d-c67c-475b-82bc-7ac77223f644">
      <Terms xmlns="http://schemas.microsoft.com/office/infopath/2007/PartnerControls">
        <TermInfo xmlns="http://schemas.microsoft.com/office/infopath/2007/PartnerControls">
          <TermName xmlns="http://schemas.microsoft.com/office/infopath/2007/PartnerControls">Beca Limited</TermName>
          <TermId xmlns="http://schemas.microsoft.com/office/infopath/2007/PartnerControls">32943bc8-db00-41f3-beb5-5cb7e1307330</TermId>
        </TermInfo>
      </Terms>
    </ife4c8ad6dc64b789ceedee1a97d65db>
    <DMSParentJobId xmlns="7531ee6d-c67c-475b-82bc-7ac77223f644">54137</DMSParentJobId>
    <i6868cce13be458ea4785981c51cf29b xmlns="7531ee6d-c67c-475b-82bc-7ac77223f644">
      <Terms xmlns="http://schemas.microsoft.com/office/infopath/2007/PartnerControls"/>
    </i6868cce13be458ea4785981c51cf29b>
    <lc758cec76a64fcfa430cac142113778 xmlns="7531ee6d-c67c-475b-82bc-7ac77223f644">
      <Terms xmlns="http://schemas.microsoft.com/office/infopath/2007/PartnerControls"/>
    </lc758cec76a64fcfa430cac142113778>
    <Job_x0020_Number xmlns="7531ee6d-c67c-475b-82bc-7ac77223f644">4219937</Job_x0020_Number>
    <Job_x0020_Name xmlns="7531ee6d-c67c-475b-82bc-7ac77223f644">AC - Climate Impact Asment Tool </Job_x0020_Name>
    <pdfc03f430814220a5667e259096fb63 xmlns="7531ee6d-c67c-475b-82bc-7ac77223f644">
      <Terms xmlns="http://schemas.microsoft.com/office/infopath/2007/PartnerControls">
        <TermInfo xmlns="http://schemas.microsoft.com/office/infopath/2007/PartnerControls">
          <TermName xmlns="http://schemas.microsoft.com/office/infopath/2007/PartnerControls">WIP</TermName>
          <TermId xmlns="http://schemas.microsoft.com/office/infopath/2007/PartnerControls">db997c6c-dc18-4bc4-99fc-2cbf3aaf93f9</TermId>
        </TermInfo>
      </Terms>
    </pdfc03f430814220a5667e259096fb63>
    <p0cab2939f7147a2b9c52663a6dfd4fc xmlns="7531ee6d-c67c-475b-82bc-7ac77223f644">
      <Terms xmlns="http://schemas.microsoft.com/office/infopath/2007/PartnerControls">
        <TermInfo xmlns="http://schemas.microsoft.com/office/infopath/2007/PartnerControls">
          <TermName xmlns="http://schemas.microsoft.com/office/infopath/2007/PartnerControls">Beca</TermName>
          <TermId xmlns="http://schemas.microsoft.com/office/infopath/2007/PartnerControls">a9bbb40e-5fed-4cc0-bdb5-0fb463d1eb14</TermId>
        </TermInfo>
      </Terms>
    </p0cab2939f7147a2b9c52663a6dfd4fc>
    <Revision_x0020_Number xmlns="7531ee6d-c67c-475b-82bc-7ac77223f644" xsi:nil="true"/>
    <OnBehalfOf xmlns="7531ee6d-c67c-475b-82bc-7ac77223f644">
      <UserInfo>
        <DisplayName/>
        <AccountId xsi:nil="true"/>
        <AccountType/>
      </UserInfo>
    </OnBehalfOf>
    <DMSIssuedReceivedDate xmlns="07ac1b71-0aba-446e-be66-398fa84c8620" xsi:nil="true"/>
    <_dlc_DocId xmlns="f98a07d3-3acd-4ee3-9d93-7080040a6e9f">6720072-309191154-448</_dlc_DocId>
    <TaxCatchAll xmlns="f98a07d3-3acd-4ee3-9d93-7080040a6e9f">
      <Value>5</Value>
      <Value>18</Value>
      <Value>25</Value>
      <Value>2</Value>
      <Value>1</Value>
    </TaxCatchAll>
    <_dlc_DocIdUrl xmlns="f98a07d3-3acd-4ee3-9d93-7080040a6e9f">
      <Url>https://becagroup.sharepoint.com/sites/project-75690/_layouts/15/DocIdRedir.aspx?ID=6720072-309191154-448</Url>
      <Description>6720072-309191154-448</Description>
    </_dlc_DocIdUrl>
    <TaxCatchAllLabel xmlns="f98a07d3-3acd-4ee3-9d93-7080040a6e9f" xsi:nil="true"/>
    <ProjectActivity xmlns="f98a07d3-3acd-4ee3-9d93-7080040a6e9f" xsi:nil="true"/>
    <SharedWithUsers xmlns="f98a07d3-3acd-4ee3-9d93-7080040a6e9f">
      <UserInfo>
        <DisplayName>SharingLinks.7af6c070-eb8a-4f1c-9b91-94071c189a47.OrganizationEdit.5b70b694-f01d-4614-894a-aec2bafd0f93</DisplayName>
        <AccountId>42</AccountId>
        <AccountType/>
      </UserInfo>
      <UserInfo>
        <DisplayName>Cushla Loomb</DisplayName>
        <AccountId>16</AccountId>
        <AccountType/>
      </UserInfo>
      <UserInfo>
        <DisplayName>Jaime Smith</DisplayName>
        <AccountId>293</AccountId>
        <AccountType/>
      </UserInfo>
    </SharedWithUsers>
    <lcf76f155ced4ddcb4097134ff3c332f xmlns="53ce5673-6492-4a7d-a202-0d2272a2389d">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4CBAE9F-77CF-4697-8B6E-2F9030086992}">
  <ds:schemaRefs>
    <ds:schemaRef ds:uri="http://schemas.microsoft.com/DataMashup"/>
  </ds:schemaRefs>
</ds:datastoreItem>
</file>

<file path=customXml/itemProps2.xml><?xml version="1.0" encoding="utf-8"?>
<ds:datastoreItem xmlns:ds="http://schemas.openxmlformats.org/officeDocument/2006/customXml" ds:itemID="{2A8B39CD-0D0F-47B0-AAF8-427C38376B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8a07d3-3acd-4ee3-9d93-7080040a6e9f"/>
    <ds:schemaRef ds:uri="7531ee6d-c67c-475b-82bc-7ac77223f644"/>
    <ds:schemaRef ds:uri="07ac1b71-0aba-446e-be66-398fa84c8620"/>
    <ds:schemaRef ds:uri="50e17bcc-d7b7-459f-990b-1cd6f4156261"/>
    <ds:schemaRef ds:uri="53ce5673-6492-4a7d-a202-0d2272a238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D3B12B-CA2F-41E9-9356-6E268A84FE91}">
  <ds:schemaRefs>
    <ds:schemaRef ds:uri="http://www.w3.org/XML/1998/namespace"/>
    <ds:schemaRef ds:uri="http://purl.org/dc/dcmitype/"/>
    <ds:schemaRef ds:uri="7531ee6d-c67c-475b-82bc-7ac77223f644"/>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 ds:uri="http://purl.org/dc/terms/"/>
    <ds:schemaRef ds:uri="f98a07d3-3acd-4ee3-9d93-7080040a6e9f"/>
    <ds:schemaRef ds:uri="53ce5673-6492-4a7d-a202-0d2272a2389d"/>
    <ds:schemaRef ds:uri="50e17bcc-d7b7-459f-990b-1cd6f4156261"/>
    <ds:schemaRef ds:uri="07ac1b71-0aba-446e-be66-398fa84c8620"/>
    <ds:schemaRef ds:uri="http://schemas.microsoft.com/office/2006/metadata/properties"/>
  </ds:schemaRefs>
</ds:datastoreItem>
</file>

<file path=customXml/itemProps4.xml><?xml version="1.0" encoding="utf-8"?>
<ds:datastoreItem xmlns:ds="http://schemas.openxmlformats.org/officeDocument/2006/customXml" ds:itemID="{F12B98A5-BD52-441F-BA57-8DD393B23C83}">
  <ds:schemaRefs>
    <ds:schemaRef ds:uri="http://schemas.microsoft.com/sharepoint/v3/contenttype/forms"/>
  </ds:schemaRefs>
</ds:datastoreItem>
</file>

<file path=customXml/itemProps5.xml><?xml version="1.0" encoding="utf-8"?>
<ds:datastoreItem xmlns:ds="http://schemas.openxmlformats.org/officeDocument/2006/customXml" ds:itemID="{DEDFEA28-C337-4D1B-BCDB-E86E02B44D12}">
  <ds:schemaRefs>
    <ds:schemaRef ds:uri="http://schemas.microsoft.com/sharepoint/events"/>
  </ds:schemaRefs>
</ds:datastoreItem>
</file>

<file path=docMetadata/LabelInfo.xml><?xml version="1.0" encoding="utf-8"?>
<clbl:labelList xmlns:clbl="http://schemas.microsoft.com/office/2020/mipLabelMetadata">
  <clbl:label id="{71e8007d-0344-4ee5-bb02-8f24bdb7d471}" enabled="1" method="Standard" siteId="{bb0f7126-b1c5-4f3e-8ca1-2b24f0f7462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Beca sign off</vt:lpstr>
      <vt:lpstr>Introduction</vt:lpstr>
      <vt:lpstr>Glossary</vt:lpstr>
      <vt:lpstr>Response Form</vt:lpstr>
      <vt:lpstr>View Results Report</vt:lpstr>
      <vt:lpstr>Blank for any user notes</vt:lpstr>
      <vt:lpstr>Backroom - VE Tables NEW</vt:lpstr>
      <vt:lpstr>Backroom - question input</vt:lpstr>
      <vt:lpstr>Backroom - question output calc</vt:lpstr>
      <vt:lpstr>Backroom - report content</vt:lpstr>
      <vt:lpstr>OLD - VE Tables</vt:lpstr>
      <vt:lpstr>Backroom - Risk Summaries</vt:lpstr>
      <vt:lpstr>Backroom - Risk Statements </vt:lpstr>
      <vt:lpstr>Backroom - VE Scoring</vt:lpstr>
      <vt:lpstr>'Blank for any user notes'!Print_Area</vt:lpstr>
      <vt:lpstr>'View Results Report'!Print_Area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Lohrentz</dc:creator>
  <cp:keywords/>
  <dc:description/>
  <cp:lastModifiedBy>Nola Smart</cp:lastModifiedBy>
  <cp:revision/>
  <cp:lastPrinted>2024-05-03T02:56:36Z</cp:lastPrinted>
  <dcterms:created xsi:type="dcterms:W3CDTF">2021-10-29T00:39:27Z</dcterms:created>
  <dcterms:modified xsi:type="dcterms:W3CDTF">2024-05-11T03:08:46Z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1e8007d-0344-4ee5-bb02-8f24bdb7d471_Enabled">
    <vt:lpwstr>true</vt:lpwstr>
  </property>
  <property fmtid="{D5CDD505-2E9C-101B-9397-08002B2CF9AE}" pid="3" name="MSIP_Label_71e8007d-0344-4ee5-bb02-8f24bdb7d471_SetDate">
    <vt:lpwstr>2021-10-29T00:39:28Z</vt:lpwstr>
  </property>
  <property fmtid="{D5CDD505-2E9C-101B-9397-08002B2CF9AE}" pid="4" name="MSIP_Label_71e8007d-0344-4ee5-bb02-8f24bdb7d471_Method">
    <vt:lpwstr>Standard</vt:lpwstr>
  </property>
  <property fmtid="{D5CDD505-2E9C-101B-9397-08002B2CF9AE}" pid="5" name="MSIP_Label_71e8007d-0344-4ee5-bb02-8f24bdb7d471_Name">
    <vt:lpwstr>General Document</vt:lpwstr>
  </property>
  <property fmtid="{D5CDD505-2E9C-101B-9397-08002B2CF9AE}" pid="6" name="MSIP_Label_71e8007d-0344-4ee5-bb02-8f24bdb7d471_SiteId">
    <vt:lpwstr>bb0f7126-b1c5-4f3e-8ca1-2b24f0f74620</vt:lpwstr>
  </property>
  <property fmtid="{D5CDD505-2E9C-101B-9397-08002B2CF9AE}" pid="7" name="MSIP_Label_71e8007d-0344-4ee5-bb02-8f24bdb7d471_ActionId">
    <vt:lpwstr>d38dee17-c3da-434c-96b2-adb6934d30a3</vt:lpwstr>
  </property>
  <property fmtid="{D5CDD505-2E9C-101B-9397-08002B2CF9AE}" pid="8" name="MSIP_Label_71e8007d-0344-4ee5-bb02-8f24bdb7d471_ContentBits">
    <vt:lpwstr>1</vt:lpwstr>
  </property>
  <property fmtid="{D5CDD505-2E9C-101B-9397-08002B2CF9AE}" pid="9" name="Originator">
    <vt:lpwstr>1;#Beca|a9bbb40e-5fed-4cc0-bdb5-0fb463d1eb14</vt:lpwstr>
  </property>
  <property fmtid="{D5CDD505-2E9C-101B-9397-08002B2CF9AE}" pid="10" name="kfc07b57045244179ffa5bae4291b42d">
    <vt:lpwstr/>
  </property>
  <property fmtid="{D5CDD505-2E9C-101B-9397-08002B2CF9AE}" pid="11" name="ContentTypeId">
    <vt:lpwstr>0x010100D532864B185DA9449EDD0B0960560F4201001D7BB7A731B5A2448AF09AAFD4C8DEE2</vt:lpwstr>
  </property>
  <property fmtid="{D5CDD505-2E9C-101B-9397-08002B2CF9AE}" pid="12" name="DMSMarketSegmentV2">
    <vt:lpwstr>5;#Central Government (Non Segment+)|8f385166-2b76-4f05-8f8e-15a56cacc311</vt:lpwstr>
  </property>
  <property fmtid="{D5CDD505-2E9C-101B-9397-08002B2CF9AE}" pid="13" name="OwningCompany">
    <vt:lpwstr>18;#Beca Limited|32943bc8-db00-41f3-beb5-5cb7e1307330</vt:lpwstr>
  </property>
  <property fmtid="{D5CDD505-2E9C-101B-9397-08002B2CF9AE}" pid="14" name="Revision_x0020_Stamp">
    <vt:lpwstr/>
  </property>
  <property fmtid="{D5CDD505-2E9C-101B-9397-08002B2CF9AE}" pid="15" name="_dlc_DocIdItemGuid">
    <vt:lpwstr>9d9a1ba3-5c54-48c3-b806-7193794ce9fd</vt:lpwstr>
  </property>
  <property fmtid="{D5CDD505-2E9C-101B-9397-08002B2CF9AE}" pid="16" name="Client_x0020_Address">
    <vt:lpwstr/>
  </property>
  <property fmtid="{D5CDD505-2E9C-101B-9397-08002B2CF9AE}" pid="17" name="Document Status">
    <vt:lpwstr>2;#WIP|db997c6c-dc18-4bc4-99fc-2cbf3aaf93f9</vt:lpwstr>
  </property>
  <property fmtid="{D5CDD505-2E9C-101B-9397-08002B2CF9AE}" pid="18" name="DMSOwningSection">
    <vt:lpwstr>25;#421 - Auckland Environments - BL|bfc40305-2148-446e-bae1-27bee969c12a</vt:lpwstr>
  </property>
  <property fmtid="{D5CDD505-2E9C-101B-9397-08002B2CF9AE}" pid="19" name="DMSProjectDocumentType">
    <vt:lpwstr/>
  </property>
  <property fmtid="{D5CDD505-2E9C-101B-9397-08002B2CF9AE}" pid="20" name="Discipline">
    <vt:lpwstr/>
  </property>
  <property fmtid="{D5CDD505-2E9C-101B-9397-08002B2CF9AE}" pid="21" name="Client Address">
    <vt:lpwstr/>
  </property>
  <property fmtid="{D5CDD505-2E9C-101B-9397-08002B2CF9AE}" pid="22" name="Revision Stamp">
    <vt:lpwstr/>
  </property>
  <property fmtid="{D5CDD505-2E9C-101B-9397-08002B2CF9AE}" pid="23" name="MediaServiceImageTags">
    <vt:lpwstr/>
  </property>
</Properties>
</file>